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945" windowHeight="12285" activeTab="2"/>
  </bookViews>
  <sheets>
    <sheet name="Finanční plán zájezdu Peru 2014" sheetId="1" r:id="rId1"/>
    <sheet name="Celkový rozpočet Peru 2014" sheetId="2" r:id="rId2"/>
    <sheet name="Nákup valut" sheetId="3" r:id="rId3"/>
  </sheets>
  <definedNames/>
  <calcPr fullCalcOnLoad="1"/>
</workbook>
</file>

<file path=xl/sharedStrings.xml><?xml version="1.0" encoding="utf-8"?>
<sst xmlns="http://schemas.openxmlformats.org/spreadsheetml/2006/main" count="173" uniqueCount="130">
  <si>
    <t>Datum</t>
  </si>
  <si>
    <t>Den</t>
  </si>
  <si>
    <t>00</t>
  </si>
  <si>
    <t>Vstupy a poplatky</t>
  </si>
  <si>
    <t>Jídlo</t>
  </si>
  <si>
    <t>Pití</t>
  </si>
  <si>
    <t>Cena zájezdu</t>
  </si>
  <si>
    <t>Pozn.</t>
  </si>
  <si>
    <t>Hostel Happy</t>
  </si>
  <si>
    <t>go Lucky</t>
  </si>
  <si>
    <t>Museum archeologie, kostely</t>
  </si>
  <si>
    <t>Museum zlata</t>
  </si>
  <si>
    <t>Vyhlídkový let Nazca</t>
  </si>
  <si>
    <t>Vstupy zbytné</t>
  </si>
  <si>
    <t>Paredones, Cantallo</t>
  </si>
  <si>
    <t xml:space="preserve"> Klášter Santa Catalina</t>
  </si>
  <si>
    <t>Termál La Calera</t>
  </si>
  <si>
    <t>Pohřební věže Sillustani</t>
  </si>
  <si>
    <t>Chinchero, Salineras</t>
  </si>
  <si>
    <t>Machu Picchu, termál</t>
  </si>
  <si>
    <t>Autem do Litvínova</t>
  </si>
  <si>
    <t>Přelet Cuzco - Lima</t>
  </si>
  <si>
    <t>Zpáteční letenka KLM</t>
  </si>
  <si>
    <t xml:space="preserve">13.6. pátek </t>
  </si>
  <si>
    <t>14.6. sobota</t>
  </si>
  <si>
    <t>15.6. neděle</t>
  </si>
  <si>
    <t>16.6. pondělí</t>
  </si>
  <si>
    <t>17.6. úterý</t>
  </si>
  <si>
    <t>18.6. středa</t>
  </si>
  <si>
    <t>Procházka po dunách</t>
  </si>
  <si>
    <t>19.6. čtvrtek</t>
  </si>
  <si>
    <t>20.6. pátek</t>
  </si>
  <si>
    <t>21.6. sobota</t>
  </si>
  <si>
    <t>22.6. neděle</t>
  </si>
  <si>
    <t>23.6. pondělí</t>
  </si>
  <si>
    <t>24.6. úterý</t>
  </si>
  <si>
    <t>25.6. středa</t>
  </si>
  <si>
    <t>26.6. čtvrtek</t>
  </si>
  <si>
    <r>
      <t xml:space="preserve">Coricancha, katedrála + </t>
    </r>
    <r>
      <rPr>
        <b/>
        <sz val="12"/>
        <rFont val="Times New Roman"/>
        <family val="1"/>
      </rPr>
      <t>*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</si>
  <si>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Souhrnný lístek Cuzco Pisac</t>
    </r>
  </si>
  <si>
    <t>Sandboard či čtyřkolka</t>
  </si>
  <si>
    <t>1.7. úterý</t>
  </si>
  <si>
    <t>30.6. pondělí</t>
  </si>
  <si>
    <t>29.6. neděle</t>
  </si>
  <si>
    <t>27.6. pátek</t>
  </si>
  <si>
    <t>28.6. sobota</t>
  </si>
  <si>
    <t>2.7. středa</t>
  </si>
  <si>
    <t>3.7. čtvrtek</t>
  </si>
  <si>
    <t>4.7. pátek</t>
  </si>
  <si>
    <t>5.7. sobota</t>
  </si>
  <si>
    <t>6.7. neděle</t>
  </si>
  <si>
    <t>7.7. pondělí</t>
  </si>
  <si>
    <t>8.7. úterý</t>
  </si>
  <si>
    <t>9.7. středa</t>
  </si>
  <si>
    <t>Chavín de Huántar</t>
  </si>
  <si>
    <t>Termál</t>
  </si>
  <si>
    <t>Jízdné a zájezd</t>
  </si>
  <si>
    <t>Suma výdajů v Kč</t>
  </si>
  <si>
    <t>Suma výdajů v $ a €</t>
  </si>
  <si>
    <t>Nocleh</t>
  </si>
  <si>
    <t>Hotovost</t>
  </si>
  <si>
    <t>Coricancha, katedrála</t>
  </si>
  <si>
    <t>Popis výdaje</t>
  </si>
  <si>
    <t>Museum archeologie</t>
  </si>
  <si>
    <t>Kostely</t>
  </si>
  <si>
    <t>Klášter Santa Catalina</t>
  </si>
  <si>
    <t>USD</t>
  </si>
  <si>
    <t>Letištní poplatek (odlet z Limy)</t>
  </si>
  <si>
    <t>Suma výdajů [$]</t>
  </si>
  <si>
    <t>Suma výdajů [Kč]</t>
  </si>
  <si>
    <t>Vstupy</t>
  </si>
  <si>
    <t>Cusco Tourist Ticket</t>
  </si>
  <si>
    <t>Termál, Machu Picchu</t>
  </si>
  <si>
    <t>Celkový rozpočet zájezdu do Peru 15. 6. - 9. 7. 2014 (draft)</t>
  </si>
  <si>
    <t>Sandboard, čtyřkolka</t>
  </si>
  <si>
    <t>Výdajové minimum v USD:</t>
  </si>
  <si>
    <t>Celkové výdaje v Kč:</t>
  </si>
  <si>
    <t>(odhad)</t>
  </si>
  <si>
    <t>Odhad nezbytných výdajů v Kč:</t>
  </si>
  <si>
    <t>8-10</t>
  </si>
  <si>
    <t>22. - 24. 6.</t>
  </si>
  <si>
    <t>Suma výdajů [PEN]</t>
  </si>
  <si>
    <t>Mezisoučet</t>
  </si>
  <si>
    <t>nezbytné výdaje</t>
  </si>
  <si>
    <t>Hotovost [PEN]</t>
  </si>
  <si>
    <t>Nezbytné výdaje</t>
  </si>
  <si>
    <t>Zbytné výdaje</t>
  </si>
  <si>
    <t>15. - 16. 6.</t>
  </si>
  <si>
    <t>1-2</t>
  </si>
  <si>
    <t>Letištní poplatek za odlet z Limy</t>
  </si>
  <si>
    <t>Výběr 1500 PEN</t>
  </si>
  <si>
    <r>
      <t>1) Praha x. 6.</t>
    </r>
    <r>
      <rPr>
        <sz val="12"/>
        <rFont val="Times New Roman"/>
        <family val="1"/>
      </rPr>
      <t xml:space="preserve"> nákup </t>
    </r>
    <r>
      <rPr>
        <b/>
        <sz val="12"/>
        <rFont val="Times New Roman"/>
        <family val="1"/>
      </rPr>
      <t>400 $</t>
    </r>
  </si>
  <si>
    <t>PEN</t>
  </si>
  <si>
    <t>Poplatek za odlet z Cuzco</t>
  </si>
  <si>
    <t>Hradí CK Kudrna</t>
  </si>
  <si>
    <t>Finanční plán zájezdu do Peru (výdaje ¨vztaženy na 1 osobu, nákup valut a výběry pro dva)</t>
  </si>
  <si>
    <r>
      <t>2) Lima 16. 6.</t>
    </r>
    <r>
      <rPr>
        <sz val="12"/>
        <rFont val="Times New Roman"/>
        <family val="1"/>
      </rPr>
      <t xml:space="preserve"> výběr </t>
    </r>
    <r>
      <rPr>
        <b/>
        <sz val="12"/>
        <rFont val="Times New Roman"/>
        <family val="1"/>
      </rPr>
      <t>1500 PEN (500 $)</t>
    </r>
    <r>
      <rPr>
        <sz val="12"/>
        <rFont val="Times New Roman"/>
        <family val="1"/>
      </rPr>
      <t xml:space="preserve"> z bankomatu </t>
    </r>
    <r>
      <rPr>
        <b/>
        <sz val="12"/>
        <rFont val="Times New Roman"/>
        <family val="1"/>
      </rPr>
      <t>MultiRed (Banco de la Nación)</t>
    </r>
  </si>
  <si>
    <r>
      <t>3) Cuzco 26. 6.</t>
    </r>
    <r>
      <rPr>
        <sz val="12"/>
        <rFont val="Times New Roman"/>
        <family val="1"/>
      </rPr>
      <t xml:space="preserve"> výběr </t>
    </r>
    <r>
      <rPr>
        <b/>
        <sz val="12"/>
        <rFont val="Times New Roman"/>
        <family val="1"/>
      </rPr>
      <t>1500 PEN (500 $)</t>
    </r>
    <r>
      <rPr>
        <sz val="12"/>
        <rFont val="Times New Roman"/>
        <family val="1"/>
      </rPr>
      <t xml:space="preserve"> z bankomatu </t>
    </r>
    <r>
      <rPr>
        <b/>
        <sz val="12"/>
        <rFont val="Times New Roman"/>
        <family val="1"/>
      </rPr>
      <t>MultiRed (Banco de la Nación)</t>
    </r>
  </si>
  <si>
    <t>Porovnání výhodnosti nákupu dolarů v ČR</t>
  </si>
  <si>
    <t>Množství:</t>
  </si>
  <si>
    <t>Prodejce</t>
  </si>
  <si>
    <t>Směnárna Kaprovka</t>
  </si>
  <si>
    <t>Směnárna Litvínov</t>
  </si>
  <si>
    <t>KB Litvínov</t>
  </si>
  <si>
    <t>Kurs prodeje valut</t>
  </si>
  <si>
    <t>Náklady směny Kč&gt;&gt;&gt;USD bez poplatku</t>
  </si>
  <si>
    <t>Poplatek za prodej (0-2.5 %)</t>
  </si>
  <si>
    <t>Poplatek za směnu [Kč]</t>
  </si>
  <si>
    <t>Poznámka</t>
  </si>
  <si>
    <t>100$ bankovky</t>
  </si>
  <si>
    <t>Celkové náklady směny Kč&gt;&gt;&gt;USD</t>
  </si>
  <si>
    <t>Čistý kurs [Kč]</t>
  </si>
  <si>
    <t>Poplatek za směnu USD&gt;&gt;&gt;PEN (1-2 %)</t>
  </si>
  <si>
    <t>Poplatek za směnu [USD]</t>
  </si>
  <si>
    <t>Získaná hotovost [PEN]</t>
  </si>
  <si>
    <t>Celkové náklady transakce [Kč]</t>
  </si>
  <si>
    <t>Čistý náklad na nákup 1 PEN [Kč]</t>
  </si>
  <si>
    <t>Porovnání výhodnosti výběru z bankomatu různých peruánských bank</t>
  </si>
  <si>
    <t>Banka</t>
  </si>
  <si>
    <t>Banco Credito de Peru (BCP)</t>
  </si>
  <si>
    <t>MultiRed (Banco de la Nación)</t>
  </si>
  <si>
    <t>Interbank Peru</t>
  </si>
  <si>
    <t>Banco Continental (BBVA)</t>
  </si>
  <si>
    <t>Středový kurs [Kč/PEN]</t>
  </si>
  <si>
    <t>Limit výběru [$]</t>
  </si>
  <si>
    <t>Limit výběru [PEN]</t>
  </si>
  <si>
    <t>Náklady výběru bez poplatků</t>
  </si>
  <si>
    <t>Poplatek za výběr z bankomatu [PEN]</t>
  </si>
  <si>
    <t>Poplatek za výběr z bankomatu [Kč]</t>
  </si>
  <si>
    <t>Poplatek KB (1 % z výběru, min. 100 Kč)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</si>
</sst>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405]d\.\ mmmm\ yyyy"/>
    <numFmt numFmtId="166" formatCode="#,##0\ &quot;Kč&quot;"/>
    <numFmt numFmtId="167" formatCode="#,##0\ [$€-1];[Red]\-#,##0\ [$€-1]"/>
    <numFmt numFmtId="168" formatCode="#,##0.0\ _K_č"/>
    <numFmt numFmtId="169" formatCode="[$$-409]#,##0.0"/>
    <numFmt numFmtId="170" formatCode="[$$-409]#,##0"/>
    <numFmt numFmtId="171" formatCode="[$$-540A]#,##0"/>
    <numFmt numFmtId="172" formatCode="#,##0\ [$PEN]"/>
    <numFmt numFmtId="173" formatCode="#,##0\ _K_č"/>
    <numFmt numFmtId="174" formatCode="#,##0.0"/>
    <numFmt numFmtId="175" formatCode="#,##0.0\ [$PEN]"/>
    <numFmt numFmtId="176" formatCode="#,##0.00\ [$PEN]"/>
    <numFmt numFmtId="177" formatCode="#,##0.00\ &quot;Kč&quot;"/>
  </numFmts>
  <fonts count="44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dashed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 style="dashed"/>
      <bottom style="medium"/>
    </border>
    <border>
      <left/>
      <right style="thin"/>
      <top style="medium"/>
      <bottom style="medium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dashed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dashed"/>
    </border>
    <border>
      <left style="medium"/>
      <right/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/>
      <top style="dashed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14" fontId="1" fillId="0" borderId="1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14" fontId="1" fillId="0" borderId="21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14" fontId="0" fillId="0" borderId="20" xfId="0" applyNumberFormat="1" applyBorder="1" applyAlignment="1">
      <alignment horizontal="left"/>
    </xf>
    <xf numFmtId="0" fontId="1" fillId="0" borderId="22" xfId="0" applyFont="1" applyBorder="1" applyAlignment="1">
      <alignment horizontal="center"/>
    </xf>
    <xf numFmtId="14" fontId="0" fillId="0" borderId="23" xfId="0" applyNumberFormat="1" applyBorder="1" applyAlignment="1">
      <alignment horizontal="left"/>
    </xf>
    <xf numFmtId="14" fontId="1" fillId="0" borderId="24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8" fontId="0" fillId="0" borderId="18" xfId="0" applyNumberFormat="1" applyFont="1" applyBorder="1" applyAlignment="1">
      <alignment horizontal="left"/>
    </xf>
    <xf numFmtId="168" fontId="0" fillId="0" borderId="21" xfId="0" applyNumberFormat="1" applyFont="1" applyBorder="1" applyAlignment="1">
      <alignment horizontal="left"/>
    </xf>
    <xf numFmtId="14" fontId="0" fillId="0" borderId="24" xfId="0" applyNumberFormat="1" applyFont="1" applyBorder="1" applyAlignment="1">
      <alignment horizontal="left"/>
    </xf>
    <xf numFmtId="168" fontId="0" fillId="0" borderId="16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6" xfId="0" applyNumberFormat="1" applyFont="1" applyBorder="1" applyAlignment="1">
      <alignment horizontal="left"/>
    </xf>
    <xf numFmtId="14" fontId="1" fillId="0" borderId="19" xfId="0" applyNumberFormat="1" applyFont="1" applyBorder="1" applyAlignment="1">
      <alignment horizontal="left"/>
    </xf>
    <xf numFmtId="14" fontId="1" fillId="0" borderId="16" xfId="0" applyNumberFormat="1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6" fontId="1" fillId="0" borderId="22" xfId="0" applyNumberFormat="1" applyFont="1" applyBorder="1" applyAlignment="1">
      <alignment horizontal="center"/>
    </xf>
    <xf numFmtId="6" fontId="1" fillId="0" borderId="26" xfId="0" applyNumberFormat="1" applyFont="1" applyBorder="1" applyAlignment="1">
      <alignment horizontal="center"/>
    </xf>
    <xf numFmtId="169" fontId="0" fillId="0" borderId="22" xfId="0" applyNumberFormat="1" applyFont="1" applyBorder="1" applyAlignment="1">
      <alignment horizontal="center"/>
    </xf>
    <xf numFmtId="14" fontId="1" fillId="0" borderId="21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5" xfId="0" applyFont="1" applyBorder="1" applyAlignment="1">
      <alignment horizontal="center"/>
    </xf>
    <xf numFmtId="6" fontId="1" fillId="0" borderId="13" xfId="0" applyNumberFormat="1" applyFont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169" fontId="0" fillId="0" borderId="21" xfId="0" applyNumberFormat="1" applyFont="1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left"/>
    </xf>
    <xf numFmtId="170" fontId="0" fillId="0" borderId="27" xfId="0" applyNumberFormat="1" applyFont="1" applyBorder="1" applyAlignment="1">
      <alignment horizontal="center"/>
    </xf>
    <xf numFmtId="170" fontId="0" fillId="0" borderId="21" xfId="0" applyNumberFormat="1" applyFont="1" applyBorder="1" applyAlignment="1">
      <alignment horizontal="center"/>
    </xf>
    <xf numFmtId="170" fontId="0" fillId="0" borderId="19" xfId="0" applyNumberFormat="1" applyFont="1" applyBorder="1" applyAlignment="1">
      <alignment horizontal="center"/>
    </xf>
    <xf numFmtId="170" fontId="0" fillId="0" borderId="22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7" fontId="1" fillId="0" borderId="30" xfId="0" applyNumberFormat="1" applyFont="1" applyBorder="1" applyAlignment="1">
      <alignment horizontal="center"/>
    </xf>
    <xf numFmtId="170" fontId="1" fillId="0" borderId="31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left"/>
    </xf>
    <xf numFmtId="6" fontId="1" fillId="0" borderId="32" xfId="0" applyNumberFormat="1" applyFont="1" applyBorder="1" applyAlignment="1">
      <alignment horizontal="center"/>
    </xf>
    <xf numFmtId="6" fontId="1" fillId="0" borderId="33" xfId="0" applyNumberFormat="1" applyFont="1" applyBorder="1" applyAlignment="1">
      <alignment horizontal="center"/>
    </xf>
    <xf numFmtId="14" fontId="1" fillId="0" borderId="33" xfId="0" applyNumberFormat="1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0" fillId="0" borderId="36" xfId="0" applyBorder="1" applyAlignment="1">
      <alignment/>
    </xf>
    <xf numFmtId="6" fontId="1" fillId="0" borderId="37" xfId="0" applyNumberFormat="1" applyFont="1" applyBorder="1" applyAlignment="1">
      <alignment/>
    </xf>
    <xf numFmtId="166" fontId="1" fillId="0" borderId="32" xfId="0" applyNumberFormat="1" applyFont="1" applyBorder="1" applyAlignment="1">
      <alignment horizontal="center"/>
    </xf>
    <xf numFmtId="166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0" fontId="1" fillId="0" borderId="0" xfId="0" applyNumberFormat="1" applyFont="1" applyAlignment="1">
      <alignment horizontal="left"/>
    </xf>
    <xf numFmtId="6" fontId="1" fillId="0" borderId="0" xfId="0" applyNumberFormat="1" applyFont="1" applyAlignment="1">
      <alignment horizontal="left"/>
    </xf>
    <xf numFmtId="170" fontId="1" fillId="0" borderId="3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168" fontId="0" fillId="33" borderId="18" xfId="0" applyNumberFormat="1" applyFont="1" applyFill="1" applyBorder="1" applyAlignment="1">
      <alignment horizontal="left"/>
    </xf>
    <xf numFmtId="168" fontId="0" fillId="33" borderId="19" xfId="0" applyNumberFormat="1" applyFont="1" applyFill="1" applyBorder="1" applyAlignment="1">
      <alignment horizontal="center"/>
    </xf>
    <xf numFmtId="168" fontId="0" fillId="33" borderId="21" xfId="0" applyNumberFormat="1" applyFont="1" applyFill="1" applyBorder="1" applyAlignment="1">
      <alignment horizontal="left"/>
    </xf>
    <xf numFmtId="14" fontId="0" fillId="33" borderId="22" xfId="0" applyNumberFormat="1" applyFont="1" applyFill="1" applyBorder="1" applyAlignment="1">
      <alignment horizontal="center"/>
    </xf>
    <xf numFmtId="14" fontId="0" fillId="33" borderId="24" xfId="0" applyNumberFormat="1" applyFont="1" applyFill="1" applyBorder="1" applyAlignment="1">
      <alignment horizontal="left"/>
    </xf>
    <xf numFmtId="170" fontId="1" fillId="33" borderId="31" xfId="0" applyNumberFormat="1" applyFont="1" applyFill="1" applyBorder="1" applyAlignment="1">
      <alignment horizontal="center"/>
    </xf>
    <xf numFmtId="14" fontId="1" fillId="33" borderId="30" xfId="0" applyNumberFormat="1" applyFont="1" applyFill="1" applyBorder="1" applyAlignment="1">
      <alignment horizontal="left"/>
    </xf>
    <xf numFmtId="166" fontId="1" fillId="33" borderId="32" xfId="0" applyNumberFormat="1" applyFont="1" applyFill="1" applyBorder="1" applyAlignment="1">
      <alignment horizontal="center"/>
    </xf>
    <xf numFmtId="14" fontId="1" fillId="33" borderId="33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8" fontId="1" fillId="0" borderId="24" xfId="0" applyNumberFormat="1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14" fontId="0" fillId="0" borderId="39" xfId="0" applyNumberFormat="1" applyBorder="1" applyAlignment="1">
      <alignment horizontal="left"/>
    </xf>
    <xf numFmtId="14" fontId="1" fillId="0" borderId="40" xfId="0" applyNumberFormat="1" applyFont="1" applyBorder="1" applyAlignment="1">
      <alignment horizontal="left"/>
    </xf>
    <xf numFmtId="168" fontId="0" fillId="0" borderId="40" xfId="0" applyNumberFormat="1" applyFont="1" applyBorder="1" applyAlignment="1">
      <alignment horizontal="left"/>
    </xf>
    <xf numFmtId="170" fontId="0" fillId="0" borderId="4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170" fontId="0" fillId="0" borderId="45" xfId="0" applyNumberFormat="1" applyFont="1" applyBorder="1" applyAlignment="1">
      <alignment horizontal="center"/>
    </xf>
    <xf numFmtId="170" fontId="1" fillId="0" borderId="28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68" fontId="0" fillId="0" borderId="48" xfId="0" applyNumberFormat="1" applyFont="1" applyBorder="1" applyAlignment="1">
      <alignment horizontal="left"/>
    </xf>
    <xf numFmtId="170" fontId="0" fillId="0" borderId="49" xfId="0" applyNumberFormat="1" applyFont="1" applyBorder="1" applyAlignment="1">
      <alignment horizontal="center"/>
    </xf>
    <xf numFmtId="170" fontId="0" fillId="0" borderId="50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170" fontId="1" fillId="0" borderId="52" xfId="0" applyNumberFormat="1" applyFont="1" applyBorder="1" applyAlignment="1">
      <alignment horizontal="center"/>
    </xf>
    <xf numFmtId="14" fontId="1" fillId="0" borderId="53" xfId="0" applyNumberFormat="1" applyFont="1" applyBorder="1" applyAlignment="1">
      <alignment horizontal="left"/>
    </xf>
    <xf numFmtId="170" fontId="0" fillId="33" borderId="19" xfId="0" applyNumberFormat="1" applyFont="1" applyFill="1" applyBorder="1" applyAlignment="1">
      <alignment horizontal="center"/>
    </xf>
    <xf numFmtId="173" fontId="0" fillId="33" borderId="16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174" fontId="0" fillId="0" borderId="21" xfId="0" applyNumberFormat="1" applyFont="1" applyBorder="1" applyAlignment="1">
      <alignment horizontal="center"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center"/>
    </xf>
    <xf numFmtId="174" fontId="0" fillId="0" borderId="2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172" fontId="1" fillId="0" borderId="53" xfId="0" applyNumberFormat="1" applyFont="1" applyBorder="1" applyAlignment="1">
      <alignment horizontal="right"/>
    </xf>
    <xf numFmtId="174" fontId="0" fillId="0" borderId="19" xfId="0" applyNumberFormat="1" applyFont="1" applyBorder="1" applyAlignment="1">
      <alignment horizontal="center"/>
    </xf>
    <xf numFmtId="167" fontId="0" fillId="33" borderId="18" xfId="0" applyNumberFormat="1" applyFont="1" applyFill="1" applyBorder="1" applyAlignment="1">
      <alignment horizontal="center"/>
    </xf>
    <xf numFmtId="167" fontId="0" fillId="33" borderId="21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0" fillId="0" borderId="17" xfId="0" applyNumberFormat="1" applyBorder="1" applyAlignment="1">
      <alignment horizontal="left"/>
    </xf>
    <xf numFmtId="3" fontId="0" fillId="0" borderId="16" xfId="0" applyNumberFormat="1" applyFont="1" applyBorder="1" applyAlignment="1">
      <alignment horizontal="center"/>
    </xf>
    <xf numFmtId="174" fontId="0" fillId="0" borderId="17" xfId="0" applyNumberFormat="1" applyFont="1" applyBorder="1" applyAlignment="1">
      <alignment horizontal="center"/>
    </xf>
    <xf numFmtId="174" fontId="0" fillId="0" borderId="18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74" fontId="0" fillId="0" borderId="23" xfId="0" applyNumberFormat="1" applyFont="1" applyBorder="1" applyAlignment="1">
      <alignment horizontal="center"/>
    </xf>
    <xf numFmtId="174" fontId="0" fillId="0" borderId="2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8" fontId="0" fillId="0" borderId="56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6" fontId="1" fillId="0" borderId="0" xfId="0" applyNumberFormat="1" applyFont="1" applyAlignment="1">
      <alignment horizontal="center"/>
    </xf>
    <xf numFmtId="170" fontId="1" fillId="0" borderId="57" xfId="0" applyNumberFormat="1" applyFont="1" applyBorder="1" applyAlignment="1">
      <alignment horizontal="center"/>
    </xf>
    <xf numFmtId="0" fontId="0" fillId="0" borderId="58" xfId="0" applyBorder="1" applyAlignment="1">
      <alignment/>
    </xf>
    <xf numFmtId="0" fontId="1" fillId="0" borderId="59" xfId="0" applyFont="1" applyBorder="1" applyAlignment="1">
      <alignment horizontal="left"/>
    </xf>
    <xf numFmtId="0" fontId="0" fillId="0" borderId="60" xfId="0" applyBorder="1" applyAlignment="1">
      <alignment/>
    </xf>
    <xf numFmtId="6" fontId="1" fillId="0" borderId="61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1" fillId="0" borderId="6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left"/>
    </xf>
    <xf numFmtId="3" fontId="0" fillId="0" borderId="38" xfId="0" applyNumberFormat="1" applyFont="1" applyBorder="1" applyAlignment="1">
      <alignment horizontal="center"/>
    </xf>
    <xf numFmtId="174" fontId="0" fillId="0" borderId="39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168" fontId="0" fillId="0" borderId="62" xfId="0" applyNumberFormat="1" applyFont="1" applyBorder="1" applyAlignment="1">
      <alignment horizontal="left"/>
    </xf>
    <xf numFmtId="170" fontId="0" fillId="0" borderId="63" xfId="0" applyNumberFormat="1" applyFont="1" applyBorder="1" applyAlignment="1">
      <alignment horizontal="center"/>
    </xf>
    <xf numFmtId="14" fontId="0" fillId="0" borderId="43" xfId="0" applyNumberFormat="1" applyBorder="1" applyAlignment="1">
      <alignment horizontal="left"/>
    </xf>
    <xf numFmtId="14" fontId="1" fillId="0" borderId="44" xfId="0" applyNumberFormat="1" applyFont="1" applyBorder="1" applyAlignment="1">
      <alignment horizontal="left"/>
    </xf>
    <xf numFmtId="3" fontId="0" fillId="0" borderId="42" xfId="0" applyNumberFormat="1" applyFont="1" applyBorder="1" applyAlignment="1">
      <alignment horizontal="center"/>
    </xf>
    <xf numFmtId="174" fontId="0" fillId="0" borderId="43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170" fontId="0" fillId="0" borderId="64" xfId="0" applyNumberFormat="1" applyFont="1" applyBorder="1" applyAlignment="1">
      <alignment horizontal="center"/>
    </xf>
    <xf numFmtId="168" fontId="0" fillId="0" borderId="44" xfId="0" applyNumberFormat="1" applyFont="1" applyBorder="1" applyAlignment="1">
      <alignment horizontal="left"/>
    </xf>
    <xf numFmtId="0" fontId="1" fillId="0" borderId="65" xfId="0" applyFont="1" applyBorder="1" applyAlignment="1">
      <alignment horizontal="center"/>
    </xf>
    <xf numFmtId="14" fontId="0" fillId="0" borderId="66" xfId="0" applyNumberFormat="1" applyBorder="1" applyAlignment="1">
      <alignment horizontal="left"/>
    </xf>
    <xf numFmtId="14" fontId="1" fillId="0" borderId="67" xfId="0" applyNumberFormat="1" applyFont="1" applyBorder="1" applyAlignment="1">
      <alignment horizontal="left"/>
    </xf>
    <xf numFmtId="3" fontId="0" fillId="0" borderId="65" xfId="0" applyNumberFormat="1" applyFont="1" applyBorder="1" applyAlignment="1">
      <alignment horizontal="center"/>
    </xf>
    <xf numFmtId="174" fontId="0" fillId="0" borderId="66" xfId="0" applyNumberFormat="1" applyFont="1" applyBorder="1" applyAlignment="1">
      <alignment horizontal="center"/>
    </xf>
    <xf numFmtId="3" fontId="0" fillId="0" borderId="67" xfId="0" applyNumberFormat="1" applyFont="1" applyBorder="1" applyAlignment="1">
      <alignment horizontal="center"/>
    </xf>
    <xf numFmtId="170" fontId="0" fillId="0" borderId="68" xfId="0" applyNumberFormat="1" applyFont="1" applyBorder="1" applyAlignment="1">
      <alignment horizontal="center"/>
    </xf>
    <xf numFmtId="168" fontId="0" fillId="0" borderId="67" xfId="0" applyNumberFormat="1" applyFont="1" applyBorder="1" applyAlignment="1">
      <alignment horizontal="left"/>
    </xf>
    <xf numFmtId="170" fontId="1" fillId="33" borderId="47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72" fontId="1" fillId="33" borderId="46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166" fontId="1" fillId="0" borderId="11" xfId="0" applyNumberFormat="1" applyFont="1" applyBorder="1" applyAlignment="1">
      <alignment horizontal="center"/>
    </xf>
    <xf numFmtId="172" fontId="1" fillId="0" borderId="69" xfId="0" applyNumberFormat="1" applyFont="1" applyBorder="1" applyAlignment="1">
      <alignment horizontal="center"/>
    </xf>
    <xf numFmtId="168" fontId="0" fillId="0" borderId="70" xfId="0" applyNumberFormat="1" applyFont="1" applyBorder="1" applyAlignment="1">
      <alignment horizontal="left"/>
    </xf>
    <xf numFmtId="14" fontId="1" fillId="0" borderId="71" xfId="0" applyNumberFormat="1" applyFont="1" applyBorder="1" applyAlignment="1">
      <alignment horizontal="left"/>
    </xf>
    <xf numFmtId="14" fontId="1" fillId="0" borderId="72" xfId="0" applyNumberFormat="1" applyFont="1" applyBorder="1" applyAlignment="1">
      <alignment horizontal="left"/>
    </xf>
    <xf numFmtId="14" fontId="1" fillId="0" borderId="73" xfId="0" applyNumberFormat="1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74" xfId="0" applyFont="1" applyBorder="1" applyAlignment="1">
      <alignment horizontal="right"/>
    </xf>
    <xf numFmtId="0" fontId="1" fillId="0" borderId="53" xfId="0" applyFont="1" applyBorder="1" applyAlignment="1">
      <alignment/>
    </xf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14" fontId="0" fillId="0" borderId="14" xfId="0" applyNumberFormat="1" applyBorder="1" applyAlignment="1">
      <alignment horizontal="left"/>
    </xf>
    <xf numFmtId="14" fontId="1" fillId="0" borderId="15" xfId="0" applyNumberFormat="1" applyFont="1" applyBorder="1" applyAlignment="1">
      <alignment horizontal="left"/>
    </xf>
    <xf numFmtId="3" fontId="0" fillId="0" borderId="13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168" fontId="0" fillId="0" borderId="75" xfId="0" applyNumberFormat="1" applyFont="1" applyBorder="1" applyAlignment="1">
      <alignment horizontal="center"/>
    </xf>
    <xf numFmtId="168" fontId="0" fillId="0" borderId="46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70" fontId="1" fillId="0" borderId="45" xfId="0" applyNumberFormat="1" applyFont="1" applyBorder="1" applyAlignment="1">
      <alignment horizontal="center"/>
    </xf>
    <xf numFmtId="170" fontId="1" fillId="33" borderId="76" xfId="0" applyNumberFormat="1" applyFont="1" applyFill="1" applyBorder="1" applyAlignment="1">
      <alignment horizontal="center"/>
    </xf>
    <xf numFmtId="168" fontId="1" fillId="33" borderId="73" xfId="0" applyNumberFormat="1" applyFont="1" applyFill="1" applyBorder="1" applyAlignment="1">
      <alignment horizontal="left"/>
    </xf>
    <xf numFmtId="170" fontId="1" fillId="33" borderId="72" xfId="0" applyNumberFormat="1" applyFont="1" applyFill="1" applyBorder="1" applyAlignment="1">
      <alignment horizontal="center"/>
    </xf>
    <xf numFmtId="168" fontId="1" fillId="33" borderId="47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168" fontId="0" fillId="0" borderId="54" xfId="0" applyNumberFormat="1" applyFont="1" applyFill="1" applyBorder="1" applyAlignment="1">
      <alignment horizontal="left"/>
    </xf>
    <xf numFmtId="168" fontId="5" fillId="0" borderId="76" xfId="0" applyNumberFormat="1" applyFont="1" applyFill="1" applyBorder="1" applyAlignment="1">
      <alignment horizontal="left"/>
    </xf>
    <xf numFmtId="168" fontId="5" fillId="0" borderId="45" xfId="0" applyNumberFormat="1" applyFont="1" applyFill="1" applyBorder="1" applyAlignment="1">
      <alignment horizontal="left"/>
    </xf>
    <xf numFmtId="168" fontId="5" fillId="0" borderId="49" xfId="0" applyNumberFormat="1" applyFont="1" applyFill="1" applyBorder="1" applyAlignment="1">
      <alignment horizontal="left"/>
    </xf>
    <xf numFmtId="168" fontId="5" fillId="0" borderId="64" xfId="0" applyNumberFormat="1" applyFont="1" applyFill="1" applyBorder="1" applyAlignment="1">
      <alignment horizontal="left"/>
    </xf>
    <xf numFmtId="168" fontId="5" fillId="0" borderId="68" xfId="0" applyNumberFormat="1" applyFont="1" applyFill="1" applyBorder="1" applyAlignment="1">
      <alignment horizontal="left"/>
    </xf>
    <xf numFmtId="168" fontId="5" fillId="0" borderId="50" xfId="0" applyNumberFormat="1" applyFont="1" applyFill="1" applyBorder="1" applyAlignment="1">
      <alignment horizontal="left"/>
    </xf>
    <xf numFmtId="14" fontId="6" fillId="0" borderId="28" xfId="0" applyNumberFormat="1" applyFont="1" applyFill="1" applyBorder="1" applyAlignment="1">
      <alignment horizontal="left"/>
    </xf>
    <xf numFmtId="14" fontId="6" fillId="0" borderId="52" xfId="0" applyNumberFormat="1" applyFont="1" applyFill="1" applyBorder="1" applyAlignment="1">
      <alignment horizontal="left"/>
    </xf>
    <xf numFmtId="14" fontId="6" fillId="0" borderId="61" xfId="0" applyNumberFormat="1" applyFont="1" applyFill="1" applyBorder="1" applyAlignment="1">
      <alignment horizontal="left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1" fontId="0" fillId="0" borderId="46" xfId="0" applyNumberFormat="1" applyFont="1" applyFill="1" applyBorder="1" applyAlignment="1">
      <alignment horizontal="center"/>
    </xf>
    <xf numFmtId="168" fontId="0" fillId="0" borderId="46" xfId="0" applyNumberFormat="1" applyFont="1" applyFill="1" applyBorder="1" applyAlignment="1">
      <alignment horizontal="center"/>
    </xf>
    <xf numFmtId="1" fontId="5" fillId="0" borderId="56" xfId="0" applyNumberFormat="1" applyFont="1" applyFill="1" applyBorder="1" applyAlignment="1">
      <alignment horizontal="center"/>
    </xf>
    <xf numFmtId="170" fontId="5" fillId="0" borderId="56" xfId="0" applyNumberFormat="1" applyFont="1" applyFill="1" applyBorder="1" applyAlignment="1">
      <alignment horizontal="center"/>
    </xf>
    <xf numFmtId="1" fontId="5" fillId="0" borderId="48" xfId="0" applyNumberFormat="1" applyFont="1" applyFill="1" applyBorder="1" applyAlignment="1">
      <alignment horizontal="center"/>
    </xf>
    <xf numFmtId="170" fontId="5" fillId="0" borderId="48" xfId="0" applyNumberFormat="1" applyFont="1" applyFill="1" applyBorder="1" applyAlignment="1">
      <alignment horizontal="center"/>
    </xf>
    <xf numFmtId="1" fontId="5" fillId="0" borderId="62" xfId="0" applyNumberFormat="1" applyFont="1" applyFill="1" applyBorder="1" applyAlignment="1">
      <alignment horizontal="center"/>
    </xf>
    <xf numFmtId="170" fontId="5" fillId="0" borderId="62" xfId="0" applyNumberFormat="1" applyFont="1" applyFill="1" applyBorder="1" applyAlignment="1">
      <alignment horizontal="center"/>
    </xf>
    <xf numFmtId="1" fontId="5" fillId="0" borderId="47" xfId="0" applyNumberFormat="1" applyFont="1" applyFill="1" applyBorder="1" applyAlignment="1">
      <alignment horizontal="center"/>
    </xf>
    <xf numFmtId="170" fontId="5" fillId="0" borderId="47" xfId="0" applyNumberFormat="1" applyFont="1" applyFill="1" applyBorder="1" applyAlignment="1">
      <alignment horizontal="center"/>
    </xf>
    <xf numFmtId="1" fontId="5" fillId="0" borderId="70" xfId="0" applyNumberFormat="1" applyFont="1" applyFill="1" applyBorder="1" applyAlignment="1">
      <alignment horizontal="center"/>
    </xf>
    <xf numFmtId="170" fontId="5" fillId="0" borderId="70" xfId="0" applyNumberFormat="1" applyFont="1" applyFill="1" applyBorder="1" applyAlignment="1">
      <alignment horizontal="center"/>
    </xf>
    <xf numFmtId="1" fontId="5" fillId="0" borderId="77" xfId="0" applyNumberFormat="1" applyFont="1" applyFill="1" applyBorder="1" applyAlignment="1">
      <alignment horizontal="center"/>
    </xf>
    <xf numFmtId="170" fontId="5" fillId="0" borderId="77" xfId="0" applyNumberFormat="1" applyFont="1" applyFill="1" applyBorder="1" applyAlignment="1">
      <alignment horizontal="center"/>
    </xf>
    <xf numFmtId="170" fontId="6" fillId="0" borderId="71" xfId="0" applyNumberFormat="1" applyFont="1" applyFill="1" applyBorder="1" applyAlignment="1">
      <alignment horizontal="center"/>
    </xf>
    <xf numFmtId="170" fontId="6" fillId="0" borderId="72" xfId="0" applyNumberFormat="1" applyFont="1" applyFill="1" applyBorder="1" applyAlignment="1">
      <alignment horizontal="center"/>
    </xf>
    <xf numFmtId="166" fontId="6" fillId="0" borderId="73" xfId="0" applyNumberFormat="1" applyFont="1" applyFill="1" applyBorder="1" applyAlignment="1">
      <alignment horizontal="center"/>
    </xf>
    <xf numFmtId="172" fontId="6" fillId="0" borderId="72" xfId="0" applyNumberFormat="1" applyFont="1" applyFill="1" applyBorder="1" applyAlignment="1">
      <alignment horizontal="center"/>
    </xf>
    <xf numFmtId="168" fontId="0" fillId="33" borderId="7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170" fontId="8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73" xfId="0" applyFont="1" applyFill="1" applyBorder="1" applyAlignment="1">
      <alignment/>
    </xf>
    <xf numFmtId="0" fontId="8" fillId="33" borderId="78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/>
    </xf>
    <xf numFmtId="0" fontId="8" fillId="33" borderId="26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8" fontId="8" fillId="0" borderId="56" xfId="0" applyNumberFormat="1" applyFont="1" applyFill="1" applyBorder="1" applyAlignment="1">
      <alignment/>
    </xf>
    <xf numFmtId="8" fontId="8" fillId="33" borderId="79" xfId="0" applyNumberFormat="1" applyFont="1" applyFill="1" applyBorder="1" applyAlignment="1">
      <alignment horizontal="center"/>
    </xf>
    <xf numFmtId="8" fontId="8" fillId="0" borderId="17" xfId="0" applyNumberFormat="1" applyFont="1" applyFill="1" applyBorder="1" applyAlignment="1">
      <alignment horizontal="center"/>
    </xf>
    <xf numFmtId="8" fontId="8" fillId="0" borderId="18" xfId="0" applyNumberFormat="1" applyFont="1" applyFill="1" applyBorder="1" applyAlignment="1">
      <alignment horizontal="center"/>
    </xf>
    <xf numFmtId="8" fontId="9" fillId="0" borderId="48" xfId="0" applyNumberFormat="1" applyFont="1" applyFill="1" applyBorder="1" applyAlignment="1">
      <alignment/>
    </xf>
    <xf numFmtId="6" fontId="9" fillId="33" borderId="80" xfId="0" applyNumberFormat="1" applyFont="1" applyFill="1" applyBorder="1" applyAlignment="1">
      <alignment horizontal="center"/>
    </xf>
    <xf numFmtId="6" fontId="9" fillId="0" borderId="20" xfId="0" applyNumberFormat="1" applyFont="1" applyFill="1" applyBorder="1" applyAlignment="1">
      <alignment horizontal="center"/>
    </xf>
    <xf numFmtId="166" fontId="9" fillId="0" borderId="21" xfId="0" applyNumberFormat="1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9" fontId="9" fillId="33" borderId="80" xfId="0" applyNumberFormat="1" applyFont="1" applyFill="1" applyBorder="1" applyAlignment="1">
      <alignment horizontal="center"/>
    </xf>
    <xf numFmtId="9" fontId="9" fillId="0" borderId="20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8" fontId="9" fillId="0" borderId="62" xfId="0" applyNumberFormat="1" applyFont="1" applyFill="1" applyBorder="1" applyAlignment="1">
      <alignment/>
    </xf>
    <xf numFmtId="6" fontId="9" fillId="33" borderId="81" xfId="0" applyNumberFormat="1" applyFont="1" applyFill="1" applyBorder="1" applyAlignment="1">
      <alignment horizontal="center"/>
    </xf>
    <xf numFmtId="6" fontId="9" fillId="0" borderId="39" xfId="0" applyNumberFormat="1" applyFont="1" applyFill="1" applyBorder="1" applyAlignment="1">
      <alignment horizontal="center"/>
    </xf>
    <xf numFmtId="166" fontId="8" fillId="0" borderId="40" xfId="0" applyNumberFormat="1" applyFont="1" applyFill="1" applyBorder="1" applyAlignment="1">
      <alignment horizontal="center"/>
    </xf>
    <xf numFmtId="8" fontId="9" fillId="0" borderId="72" xfId="0" applyNumberFormat="1" applyFont="1" applyFill="1" applyBorder="1" applyAlignment="1">
      <alignment/>
    </xf>
    <xf numFmtId="6" fontId="9" fillId="33" borderId="82" xfId="0" applyNumberFormat="1" applyFont="1" applyFill="1" applyBorder="1" applyAlignment="1">
      <alignment horizontal="center"/>
    </xf>
    <xf numFmtId="6" fontId="9" fillId="0" borderId="74" xfId="0" applyNumberFormat="1" applyFont="1" applyFill="1" applyBorder="1" applyAlignment="1">
      <alignment horizontal="center"/>
    </xf>
    <xf numFmtId="166" fontId="8" fillId="0" borderId="53" xfId="0" applyNumberFormat="1" applyFont="1" applyFill="1" applyBorder="1" applyAlignment="1">
      <alignment horizontal="center"/>
    </xf>
    <xf numFmtId="8" fontId="8" fillId="0" borderId="71" xfId="0" applyNumberFormat="1" applyFont="1" applyFill="1" applyBorder="1" applyAlignment="1">
      <alignment/>
    </xf>
    <xf numFmtId="6" fontId="8" fillId="33" borderId="83" xfId="0" applyNumberFormat="1" applyFont="1" applyFill="1" applyBorder="1" applyAlignment="1">
      <alignment horizontal="center"/>
    </xf>
    <xf numFmtId="6" fontId="8" fillId="0" borderId="57" xfId="0" applyNumberFormat="1" applyFont="1" applyFill="1" applyBorder="1" applyAlignment="1">
      <alignment horizontal="center"/>
    </xf>
    <xf numFmtId="6" fontId="8" fillId="0" borderId="30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left"/>
    </xf>
    <xf numFmtId="8" fontId="8" fillId="33" borderId="84" xfId="0" applyNumberFormat="1" applyFont="1" applyFill="1" applyBorder="1" applyAlignment="1">
      <alignment horizontal="center"/>
    </xf>
    <xf numFmtId="8" fontId="8" fillId="0" borderId="43" xfId="0" applyNumberFormat="1" applyFont="1" applyFill="1" applyBorder="1" applyAlignment="1">
      <alignment horizontal="center"/>
    </xf>
    <xf numFmtId="8" fontId="8" fillId="0" borderId="44" xfId="0" applyNumberFormat="1" applyFont="1" applyFill="1" applyBorder="1" applyAlignment="1">
      <alignment horizontal="center"/>
    </xf>
    <xf numFmtId="0" fontId="8" fillId="0" borderId="46" xfId="0" applyFont="1" applyFill="1" applyBorder="1" applyAlignment="1">
      <alignment horizontal="left"/>
    </xf>
    <xf numFmtId="8" fontId="8" fillId="33" borderId="26" xfId="0" applyNumberFormat="1" applyFont="1" applyFill="1" applyBorder="1" applyAlignment="1">
      <alignment horizontal="center"/>
    </xf>
    <xf numFmtId="8" fontId="8" fillId="0" borderId="14" xfId="0" applyNumberFormat="1" applyFont="1" applyFill="1" applyBorder="1" applyAlignment="1">
      <alignment horizontal="center"/>
    </xf>
    <xf numFmtId="8" fontId="8" fillId="0" borderId="15" xfId="0" applyNumberFormat="1" applyFont="1" applyFill="1" applyBorder="1" applyAlignment="1">
      <alignment horizontal="center"/>
    </xf>
    <xf numFmtId="8" fontId="9" fillId="0" borderId="56" xfId="0" applyNumberFormat="1" applyFont="1" applyFill="1" applyBorder="1" applyAlignment="1">
      <alignment/>
    </xf>
    <xf numFmtId="9" fontId="9" fillId="33" borderId="79" xfId="0" applyNumberFormat="1" applyFont="1" applyFill="1" applyBorder="1" applyAlignment="1">
      <alignment horizontal="center"/>
    </xf>
    <xf numFmtId="9" fontId="9" fillId="0" borderId="17" xfId="0" applyNumberFormat="1" applyFont="1" applyFill="1" applyBorder="1" applyAlignment="1">
      <alignment horizontal="center"/>
    </xf>
    <xf numFmtId="9" fontId="9" fillId="0" borderId="18" xfId="0" applyNumberFormat="1" applyFont="1" applyFill="1" applyBorder="1" applyAlignment="1">
      <alignment horizontal="center"/>
    </xf>
    <xf numFmtId="170" fontId="9" fillId="33" borderId="80" xfId="0" applyNumberFormat="1" applyFont="1" applyFill="1" applyBorder="1" applyAlignment="1">
      <alignment horizontal="center"/>
    </xf>
    <xf numFmtId="170" fontId="9" fillId="0" borderId="20" xfId="0" applyNumberFormat="1" applyFont="1" applyFill="1" applyBorder="1" applyAlignment="1">
      <alignment horizontal="center"/>
    </xf>
    <xf numFmtId="170" fontId="9" fillId="0" borderId="21" xfId="0" applyNumberFormat="1" applyFont="1" applyFill="1" applyBorder="1" applyAlignment="1">
      <alignment horizontal="center"/>
    </xf>
    <xf numFmtId="8" fontId="9" fillId="0" borderId="77" xfId="0" applyNumberFormat="1" applyFont="1" applyFill="1" applyBorder="1" applyAlignment="1">
      <alignment/>
    </xf>
    <xf numFmtId="166" fontId="9" fillId="33" borderId="85" xfId="0" applyNumberFormat="1" applyFont="1" applyFill="1" applyBorder="1" applyAlignment="1">
      <alignment horizontal="center"/>
    </xf>
    <xf numFmtId="166" fontId="9" fillId="0" borderId="23" xfId="0" applyNumberFormat="1" applyFont="1" applyFill="1" applyBorder="1" applyAlignment="1">
      <alignment horizontal="center"/>
    </xf>
    <xf numFmtId="166" fontId="9" fillId="0" borderId="24" xfId="0" applyNumberFormat="1" applyFont="1" applyFill="1" applyBorder="1" applyAlignment="1">
      <alignment horizontal="center"/>
    </xf>
    <xf numFmtId="172" fontId="8" fillId="33" borderId="83" xfId="0" applyNumberFormat="1" applyFont="1" applyFill="1" applyBorder="1" applyAlignment="1">
      <alignment horizontal="center"/>
    </xf>
    <xf numFmtId="172" fontId="8" fillId="0" borderId="57" xfId="0" applyNumberFormat="1" applyFont="1" applyFill="1" applyBorder="1" applyAlignment="1">
      <alignment horizontal="center"/>
    </xf>
    <xf numFmtId="172" fontId="8" fillId="0" borderId="30" xfId="0" applyNumberFormat="1" applyFont="1" applyFill="1" applyBorder="1" applyAlignment="1">
      <alignment horizontal="center"/>
    </xf>
    <xf numFmtId="0" fontId="8" fillId="0" borderId="86" xfId="0" applyFont="1" applyFill="1" applyBorder="1" applyAlignment="1">
      <alignment horizontal="left"/>
    </xf>
    <xf numFmtId="6" fontId="8" fillId="33" borderId="87" xfId="0" applyNumberFormat="1" applyFont="1" applyFill="1" applyBorder="1" applyAlignment="1">
      <alignment horizontal="center"/>
    </xf>
    <xf numFmtId="166" fontId="8" fillId="0" borderId="88" xfId="0" applyNumberFormat="1" applyFont="1" applyBorder="1" applyAlignment="1">
      <alignment horizontal="center"/>
    </xf>
    <xf numFmtId="166" fontId="8" fillId="0" borderId="89" xfId="0" applyNumberFormat="1" applyFont="1" applyBorder="1" applyAlignment="1">
      <alignment horizontal="center"/>
    </xf>
    <xf numFmtId="0" fontId="8" fillId="0" borderId="90" xfId="0" applyFont="1" applyFill="1" applyBorder="1" applyAlignment="1">
      <alignment horizontal="left"/>
    </xf>
    <xf numFmtId="8" fontId="8" fillId="33" borderId="91" xfId="0" applyNumberFormat="1" applyFont="1" applyFill="1" applyBorder="1" applyAlignment="1">
      <alignment horizontal="center"/>
    </xf>
    <xf numFmtId="8" fontId="8" fillId="0" borderId="55" xfId="0" applyNumberFormat="1" applyFont="1" applyBorder="1" applyAlignment="1">
      <alignment horizontal="center"/>
    </xf>
    <xf numFmtId="8" fontId="8" fillId="0" borderId="33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8" fontId="9" fillId="0" borderId="0" xfId="0" applyNumberFormat="1" applyFont="1" applyAlignment="1">
      <alignment/>
    </xf>
    <xf numFmtId="0" fontId="8" fillId="0" borderId="59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9" fillId="0" borderId="9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93" xfId="0" applyFont="1" applyFill="1" applyBorder="1" applyAlignment="1">
      <alignment/>
    </xf>
    <xf numFmtId="8" fontId="9" fillId="0" borderId="16" xfId="0" applyNumberFormat="1" applyFont="1" applyFill="1" applyBorder="1" applyAlignment="1">
      <alignment horizontal="center"/>
    </xf>
    <xf numFmtId="8" fontId="9" fillId="33" borderId="17" xfId="0" applyNumberFormat="1" applyFont="1" applyFill="1" applyBorder="1" applyAlignment="1">
      <alignment horizontal="center"/>
    </xf>
    <xf numFmtId="8" fontId="9" fillId="0" borderId="17" xfId="0" applyNumberFormat="1" applyFont="1" applyFill="1" applyBorder="1" applyAlignment="1">
      <alignment horizontal="center"/>
    </xf>
    <xf numFmtId="8" fontId="9" fillId="0" borderId="18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170" fontId="9" fillId="0" borderId="19" xfId="0" applyNumberFormat="1" applyFont="1" applyFill="1" applyBorder="1" applyAlignment="1">
      <alignment horizontal="center"/>
    </xf>
    <xf numFmtId="170" fontId="9" fillId="33" borderId="20" xfId="0" applyNumberFormat="1" applyFont="1" applyFill="1" applyBorder="1" applyAlignment="1">
      <alignment horizontal="center"/>
    </xf>
    <xf numFmtId="8" fontId="8" fillId="0" borderId="94" xfId="0" applyNumberFormat="1" applyFont="1" applyFill="1" applyBorder="1" applyAlignment="1">
      <alignment/>
    </xf>
    <xf numFmtId="172" fontId="8" fillId="0" borderId="95" xfId="0" applyNumberFormat="1" applyFont="1" applyFill="1" applyBorder="1" applyAlignment="1">
      <alignment horizontal="center"/>
    </xf>
    <xf numFmtId="172" fontId="8" fillId="33" borderId="96" xfId="0" applyNumberFormat="1" applyFont="1" applyFill="1" applyBorder="1" applyAlignment="1">
      <alignment horizontal="center"/>
    </xf>
    <xf numFmtId="172" fontId="8" fillId="0" borderId="96" xfId="0" applyNumberFormat="1" applyFont="1" applyFill="1" applyBorder="1" applyAlignment="1">
      <alignment horizontal="center"/>
    </xf>
    <xf numFmtId="172" fontId="8" fillId="0" borderId="97" xfId="0" applyNumberFormat="1" applyFont="1" applyFill="1" applyBorder="1" applyAlignment="1">
      <alignment horizontal="center"/>
    </xf>
    <xf numFmtId="8" fontId="9" fillId="0" borderId="98" xfId="0" applyNumberFormat="1" applyFont="1" applyFill="1" applyBorder="1" applyAlignment="1">
      <alignment/>
    </xf>
    <xf numFmtId="166" fontId="9" fillId="0" borderId="99" xfId="0" applyNumberFormat="1" applyFont="1" applyFill="1" applyBorder="1" applyAlignment="1">
      <alignment horizontal="center"/>
    </xf>
    <xf numFmtId="166" fontId="9" fillId="33" borderId="100" xfId="0" applyNumberFormat="1" applyFont="1" applyFill="1" applyBorder="1" applyAlignment="1">
      <alignment horizontal="center"/>
    </xf>
    <xf numFmtId="166" fontId="9" fillId="0" borderId="100" xfId="0" applyNumberFormat="1" applyFont="1" applyFill="1" applyBorder="1" applyAlignment="1">
      <alignment horizontal="center"/>
    </xf>
    <xf numFmtId="166" fontId="9" fillId="0" borderId="101" xfId="0" applyNumberFormat="1" applyFont="1" applyFill="1" applyBorder="1" applyAlignment="1">
      <alignment horizontal="center"/>
    </xf>
    <xf numFmtId="0" fontId="9" fillId="0" borderId="27" xfId="0" applyFont="1" applyBorder="1" applyAlignment="1">
      <alignment/>
    </xf>
    <xf numFmtId="6" fontId="9" fillId="0" borderId="19" xfId="0" applyNumberFormat="1" applyFont="1" applyFill="1" applyBorder="1" applyAlignment="1">
      <alignment horizontal="center"/>
    </xf>
    <xf numFmtId="6" fontId="9" fillId="33" borderId="20" xfId="0" applyNumberFormat="1" applyFont="1" applyFill="1" applyBorder="1" applyAlignment="1">
      <alignment horizontal="center"/>
    </xf>
    <xf numFmtId="0" fontId="9" fillId="0" borderId="102" xfId="0" applyFont="1" applyBorder="1" applyAlignment="1">
      <alignment/>
    </xf>
    <xf numFmtId="6" fontId="9" fillId="0" borderId="38" xfId="0" applyNumberFormat="1" applyFont="1" applyFill="1" applyBorder="1" applyAlignment="1">
      <alignment horizontal="center"/>
    </xf>
    <xf numFmtId="6" fontId="9" fillId="33" borderId="39" xfId="0" applyNumberFormat="1" applyFont="1" applyFill="1" applyBorder="1" applyAlignment="1">
      <alignment horizontal="center"/>
    </xf>
    <xf numFmtId="166" fontId="9" fillId="0" borderId="40" xfId="0" applyNumberFormat="1" applyFont="1" applyFill="1" applyBorder="1" applyAlignment="1">
      <alignment horizontal="center"/>
    </xf>
    <xf numFmtId="0" fontId="8" fillId="0" borderId="71" xfId="0" applyFont="1" applyFill="1" applyBorder="1" applyAlignment="1">
      <alignment horizontal="left"/>
    </xf>
    <xf numFmtId="6" fontId="8" fillId="0" borderId="83" xfId="0" applyNumberFormat="1" applyFont="1" applyBorder="1" applyAlignment="1">
      <alignment horizontal="center"/>
    </xf>
    <xf numFmtId="166" fontId="8" fillId="33" borderId="57" xfId="0" applyNumberFormat="1" applyFont="1" applyFill="1" applyBorder="1" applyAlignment="1">
      <alignment horizontal="center"/>
    </xf>
    <xf numFmtId="166" fontId="8" fillId="0" borderId="57" xfId="0" applyNumberFormat="1" applyFont="1" applyFill="1" applyBorder="1" applyAlignment="1">
      <alignment horizontal="center"/>
    </xf>
    <xf numFmtId="166" fontId="8" fillId="0" borderId="30" xfId="0" applyNumberFormat="1" applyFont="1" applyBorder="1" applyAlignment="1">
      <alignment horizontal="center"/>
    </xf>
    <xf numFmtId="8" fontId="8" fillId="0" borderId="91" xfId="0" applyNumberFormat="1" applyFont="1" applyBorder="1" applyAlignment="1">
      <alignment horizontal="center"/>
    </xf>
    <xf numFmtId="8" fontId="8" fillId="33" borderId="55" xfId="0" applyNumberFormat="1" applyFont="1" applyFill="1" applyBorder="1" applyAlignment="1">
      <alignment horizontal="center"/>
    </xf>
    <xf numFmtId="8" fontId="8" fillId="0" borderId="5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"/>
    </sheetView>
  </sheetViews>
  <sheetFormatPr defaultColWidth="9.00390625" defaultRowHeight="15.75"/>
  <cols>
    <col min="1" max="1" width="4.75390625" style="1" customWidth="1"/>
    <col min="2" max="2" width="0" style="0" hidden="1" customWidth="1"/>
    <col min="3" max="3" width="12.875" style="0" customWidth="1"/>
    <col min="5" max="5" width="10.50390625" style="0" customWidth="1"/>
    <col min="6" max="6" width="7.375" style="0" customWidth="1"/>
    <col min="7" max="7" width="8.75390625" style="0" customWidth="1"/>
    <col min="8" max="8" width="26.00390625" style="0" customWidth="1"/>
    <col min="9" max="9" width="14.875" style="0" customWidth="1"/>
    <col min="10" max="11" width="8.25390625" style="0" customWidth="1"/>
    <col min="12" max="12" width="18.375" style="0" customWidth="1"/>
    <col min="14" max="14" width="9.625" style="0" bestFit="1" customWidth="1"/>
    <col min="17" max="17" width="12.125" style="0" bestFit="1" customWidth="1"/>
  </cols>
  <sheetData>
    <row r="1" spans="1:12" ht="15.75">
      <c r="A1" s="9" t="s">
        <v>95</v>
      </c>
      <c r="D1" s="67"/>
      <c r="H1" s="65"/>
      <c r="K1" s="65" t="s">
        <v>78</v>
      </c>
      <c r="L1" s="136">
        <f>E35+G35</f>
        <v>10147.039999999999</v>
      </c>
    </row>
    <row r="2" spans="1:12" ht="7.5" customHeight="1">
      <c r="A2" s="9"/>
      <c r="D2" s="67"/>
      <c r="H2" s="65"/>
      <c r="J2" s="65"/>
      <c r="K2" s="65"/>
      <c r="L2" s="136"/>
    </row>
    <row r="3" spans="1:12" ht="15.75">
      <c r="A3" s="9" t="s">
        <v>91</v>
      </c>
      <c r="D3" s="67"/>
      <c r="H3" s="65"/>
      <c r="J3" s="65"/>
      <c r="K3" s="65"/>
      <c r="L3" s="136"/>
    </row>
    <row r="4" spans="1:12" ht="15.75">
      <c r="A4" s="9" t="s">
        <v>96</v>
      </c>
      <c r="D4" s="67"/>
      <c r="H4" s="65"/>
      <c r="J4" s="65"/>
      <c r="K4" s="65"/>
      <c r="L4" s="136"/>
    </row>
    <row r="5" spans="1:7" ht="15.75" customHeight="1">
      <c r="A5" s="9" t="s">
        <v>97</v>
      </c>
      <c r="D5" s="192"/>
      <c r="E5" s="193"/>
      <c r="F5" s="193"/>
      <c r="G5" s="193"/>
    </row>
    <row r="6" ht="15.75" customHeight="1" thickBot="1">
      <c r="A6" s="9"/>
    </row>
    <row r="7" spans="1:12" ht="15.75" customHeight="1" thickBot="1">
      <c r="A7" s="90"/>
      <c r="B7" s="91"/>
      <c r="C7" s="92"/>
      <c r="D7" s="98"/>
      <c r="E7" s="181"/>
      <c r="F7" s="181"/>
      <c r="G7" s="181"/>
      <c r="H7" s="181" t="s">
        <v>85</v>
      </c>
      <c r="I7" s="182"/>
      <c r="J7" s="183"/>
      <c r="K7" s="200"/>
      <c r="L7" s="184" t="s">
        <v>86</v>
      </c>
    </row>
    <row r="8" spans="1:12" ht="15.75" customHeight="1">
      <c r="A8" s="178" t="s">
        <v>1</v>
      </c>
      <c r="B8" s="179" t="s">
        <v>0</v>
      </c>
      <c r="C8" s="180" t="s">
        <v>0</v>
      </c>
      <c r="D8" s="98"/>
      <c r="E8" s="106" t="s">
        <v>84</v>
      </c>
      <c r="F8" s="117"/>
      <c r="G8" s="101" t="s">
        <v>60</v>
      </c>
      <c r="H8" s="101"/>
      <c r="I8" s="101" t="s">
        <v>82</v>
      </c>
      <c r="J8" s="213" t="s">
        <v>60</v>
      </c>
      <c r="K8" s="213" t="s">
        <v>60</v>
      </c>
      <c r="L8" s="201"/>
    </row>
    <row r="9" spans="1:12" ht="15.75" customHeight="1" thickBot="1">
      <c r="A9" s="93"/>
      <c r="B9" s="94"/>
      <c r="C9" s="95"/>
      <c r="D9" s="96" t="s">
        <v>4</v>
      </c>
      <c r="E9" s="118" t="s">
        <v>5</v>
      </c>
      <c r="F9" s="97" t="s">
        <v>70</v>
      </c>
      <c r="G9" s="102" t="s">
        <v>66</v>
      </c>
      <c r="H9" s="102" t="s">
        <v>62</v>
      </c>
      <c r="I9" s="102" t="s">
        <v>83</v>
      </c>
      <c r="J9" s="214" t="s">
        <v>92</v>
      </c>
      <c r="K9" s="214" t="s">
        <v>66</v>
      </c>
      <c r="L9" s="202" t="s">
        <v>62</v>
      </c>
    </row>
    <row r="10" spans="1:12" ht="16.5" thickBot="1">
      <c r="A10" s="185" t="s">
        <v>88</v>
      </c>
      <c r="B10" s="186">
        <v>41416</v>
      </c>
      <c r="C10" s="187" t="s">
        <v>87</v>
      </c>
      <c r="D10" s="188">
        <f>2*10*2.7</f>
        <v>54</v>
      </c>
      <c r="E10" s="194">
        <f>2*2*2.7</f>
        <v>10.8</v>
      </c>
      <c r="F10" s="189">
        <f>10*2.7</f>
        <v>27</v>
      </c>
      <c r="G10" s="190"/>
      <c r="H10" s="191" t="s">
        <v>64</v>
      </c>
      <c r="I10" s="197" t="s">
        <v>90</v>
      </c>
      <c r="J10" s="215"/>
      <c r="K10" s="216"/>
      <c r="L10" s="203"/>
    </row>
    <row r="11" spans="1:12" ht="15.75">
      <c r="A11" s="125"/>
      <c r="B11" s="126"/>
      <c r="C11" s="13"/>
      <c r="D11" s="127"/>
      <c r="E11" s="128"/>
      <c r="F11" s="148">
        <f>14*2.7</f>
        <v>37.800000000000004</v>
      </c>
      <c r="G11" s="152"/>
      <c r="H11" s="134" t="s">
        <v>63</v>
      </c>
      <c r="I11" s="134"/>
      <c r="J11" s="217">
        <f>2.7*14</f>
        <v>37.800000000000004</v>
      </c>
      <c r="K11" s="218"/>
      <c r="L11" s="204" t="s">
        <v>11</v>
      </c>
    </row>
    <row r="12" spans="1:12" ht="15.75">
      <c r="A12" s="82">
        <v>3</v>
      </c>
      <c r="B12" s="18"/>
      <c r="C12" s="16" t="s">
        <v>27</v>
      </c>
      <c r="D12" s="115">
        <f aca="true" t="shared" si="0" ref="D12:D26">10*2.7</f>
        <v>27</v>
      </c>
      <c r="E12" s="119">
        <f aca="true" t="shared" si="1" ref="E12:E27">2*2.7</f>
        <v>5.4</v>
      </c>
      <c r="F12" s="116"/>
      <c r="G12" s="89"/>
      <c r="H12" s="103"/>
      <c r="I12" s="103"/>
      <c r="J12" s="219"/>
      <c r="K12" s="220"/>
      <c r="L12" s="205"/>
    </row>
    <row r="13" spans="1:12" ht="15.75">
      <c r="A13" s="82">
        <v>4</v>
      </c>
      <c r="B13" s="18"/>
      <c r="C13" s="16" t="s">
        <v>28</v>
      </c>
      <c r="D13" s="115">
        <f t="shared" si="0"/>
        <v>27</v>
      </c>
      <c r="E13" s="119">
        <f t="shared" si="1"/>
        <v>5.4</v>
      </c>
      <c r="F13" s="114">
        <v>0</v>
      </c>
      <c r="G13" s="89"/>
      <c r="H13" s="103" t="s">
        <v>29</v>
      </c>
      <c r="I13" s="103"/>
      <c r="J13" s="219">
        <f>2.7*15</f>
        <v>40.5</v>
      </c>
      <c r="K13" s="220"/>
      <c r="L13" s="205" t="s">
        <v>74</v>
      </c>
    </row>
    <row r="14" spans="1:12" ht="15.75">
      <c r="A14" s="82">
        <v>5</v>
      </c>
      <c r="B14" s="18">
        <v>41420</v>
      </c>
      <c r="C14" s="16" t="s">
        <v>30</v>
      </c>
      <c r="D14" s="115">
        <f t="shared" si="0"/>
        <v>27</v>
      </c>
      <c r="E14" s="119">
        <f t="shared" si="1"/>
        <v>5.4</v>
      </c>
      <c r="F14" s="114">
        <f>8*2.7</f>
        <v>21.6</v>
      </c>
      <c r="G14" s="89"/>
      <c r="H14" s="103" t="s">
        <v>14</v>
      </c>
      <c r="I14" s="103"/>
      <c r="J14" s="219"/>
      <c r="K14" s="220">
        <v>100</v>
      </c>
      <c r="L14" s="205" t="s">
        <v>12</v>
      </c>
    </row>
    <row r="15" spans="1:12" ht="15.75">
      <c r="A15" s="82">
        <v>6</v>
      </c>
      <c r="B15" s="18">
        <v>41421</v>
      </c>
      <c r="C15" s="16" t="s">
        <v>31</v>
      </c>
      <c r="D15" s="115">
        <f t="shared" si="0"/>
        <v>27</v>
      </c>
      <c r="E15" s="119">
        <f t="shared" si="1"/>
        <v>5.4</v>
      </c>
      <c r="F15" s="114">
        <f>14*2.7</f>
        <v>37.800000000000004</v>
      </c>
      <c r="G15" s="89"/>
      <c r="H15" s="103" t="s">
        <v>65</v>
      </c>
      <c r="I15" s="103"/>
      <c r="J15" s="219"/>
      <c r="K15" s="220"/>
      <c r="L15" s="205"/>
    </row>
    <row r="16" spans="1:12" ht="15.75">
      <c r="A16" s="82">
        <v>7</v>
      </c>
      <c r="B16" s="18">
        <v>41422</v>
      </c>
      <c r="C16" s="16" t="s">
        <v>32</v>
      </c>
      <c r="D16" s="115">
        <f t="shared" si="0"/>
        <v>27</v>
      </c>
      <c r="E16" s="119">
        <f t="shared" si="1"/>
        <v>5.4</v>
      </c>
      <c r="F16" s="114">
        <f>6*2.7</f>
        <v>16.200000000000003</v>
      </c>
      <c r="G16" s="89"/>
      <c r="H16" s="103" t="s">
        <v>16</v>
      </c>
      <c r="I16" s="103"/>
      <c r="J16" s="219"/>
      <c r="K16" s="220"/>
      <c r="L16" s="205"/>
    </row>
    <row r="17" spans="1:12" ht="16.5" thickBot="1">
      <c r="A17" s="149" t="s">
        <v>79</v>
      </c>
      <c r="B17" s="18">
        <v>41423</v>
      </c>
      <c r="C17" s="16" t="s">
        <v>80</v>
      </c>
      <c r="D17" s="115">
        <f>3*10*2.7</f>
        <v>81</v>
      </c>
      <c r="E17" s="120">
        <f>3*2*2.7</f>
        <v>16.200000000000003</v>
      </c>
      <c r="F17" s="114"/>
      <c r="G17" s="89"/>
      <c r="H17" s="103"/>
      <c r="I17" s="103"/>
      <c r="J17" s="219"/>
      <c r="K17" s="220"/>
      <c r="L17" s="205"/>
    </row>
    <row r="18" spans="1:12" ht="15.75">
      <c r="A18" s="82">
        <v>11</v>
      </c>
      <c r="B18" s="18">
        <v>41426</v>
      </c>
      <c r="C18" s="16" t="s">
        <v>36</v>
      </c>
      <c r="D18" s="115">
        <f t="shared" si="0"/>
        <v>27</v>
      </c>
      <c r="E18" s="119">
        <f t="shared" si="1"/>
        <v>5.4</v>
      </c>
      <c r="F18" s="114">
        <f>6*2.7</f>
        <v>16.200000000000003</v>
      </c>
      <c r="G18" s="99"/>
      <c r="H18" s="26" t="s">
        <v>17</v>
      </c>
      <c r="I18" s="170">
        <f>SUM(D10:F20)</f>
        <v>728.9999999999999</v>
      </c>
      <c r="J18" s="219"/>
      <c r="K18" s="220"/>
      <c r="L18" s="205"/>
    </row>
    <row r="19" spans="1:12" ht="15.75">
      <c r="A19" s="85">
        <v>12</v>
      </c>
      <c r="B19" s="86">
        <v>41427</v>
      </c>
      <c r="C19" s="87" t="s">
        <v>37</v>
      </c>
      <c r="D19" s="146">
        <f t="shared" si="0"/>
        <v>27</v>
      </c>
      <c r="E19" s="147">
        <f t="shared" si="1"/>
        <v>5.4</v>
      </c>
      <c r="F19" s="150">
        <f>18*2.7</f>
        <v>48.6</v>
      </c>
      <c r="G19" s="104"/>
      <c r="H19" s="88" t="s">
        <v>61</v>
      </c>
      <c r="I19" s="198">
        <f>I18/2.7</f>
        <v>269.99999999999994</v>
      </c>
      <c r="J19" s="221"/>
      <c r="K19" s="222"/>
      <c r="L19" s="206"/>
    </row>
    <row r="20" spans="1:12" ht="16.5" thickBot="1">
      <c r="A20" s="93"/>
      <c r="B20" s="153"/>
      <c r="C20" s="154"/>
      <c r="D20" s="155"/>
      <c r="E20" s="156"/>
      <c r="F20" s="157">
        <f>50*2.7</f>
        <v>135</v>
      </c>
      <c r="G20" s="158"/>
      <c r="H20" s="159" t="s">
        <v>71</v>
      </c>
      <c r="I20" s="199" t="s">
        <v>90</v>
      </c>
      <c r="J20" s="223"/>
      <c r="K20" s="224"/>
      <c r="L20" s="207"/>
    </row>
    <row r="21" spans="1:12" ht="15.75">
      <c r="A21" s="160">
        <v>13</v>
      </c>
      <c r="B21" s="161">
        <v>41428</v>
      </c>
      <c r="C21" s="162" t="s">
        <v>44</v>
      </c>
      <c r="D21" s="163">
        <f t="shared" si="0"/>
        <v>27</v>
      </c>
      <c r="E21" s="164">
        <f t="shared" si="1"/>
        <v>5.4</v>
      </c>
      <c r="F21" s="165">
        <f>6*2.7</f>
        <v>16.200000000000003</v>
      </c>
      <c r="G21" s="166"/>
      <c r="H21" s="167" t="s">
        <v>18</v>
      </c>
      <c r="I21" s="174"/>
      <c r="J21" s="225"/>
      <c r="K21" s="226"/>
      <c r="L21" s="208"/>
    </row>
    <row r="22" spans="1:12" ht="15.75">
      <c r="A22" s="82">
        <v>14</v>
      </c>
      <c r="B22" s="18">
        <v>41429</v>
      </c>
      <c r="C22" s="16" t="s">
        <v>45</v>
      </c>
      <c r="D22" s="115">
        <f t="shared" si="0"/>
        <v>27</v>
      </c>
      <c r="E22" s="119">
        <f t="shared" si="1"/>
        <v>5.4</v>
      </c>
      <c r="F22" s="114">
        <f>10*2.7</f>
        <v>27</v>
      </c>
      <c r="G22" s="195">
        <v>65</v>
      </c>
      <c r="H22" s="26" t="s">
        <v>72</v>
      </c>
      <c r="I22" s="103"/>
      <c r="J22" s="219"/>
      <c r="K22" s="220"/>
      <c r="L22" s="205"/>
    </row>
    <row r="23" spans="1:12" ht="15.75">
      <c r="A23" s="82">
        <v>15</v>
      </c>
      <c r="B23" s="18">
        <v>41430</v>
      </c>
      <c r="C23" s="16" t="s">
        <v>43</v>
      </c>
      <c r="D23" s="115">
        <f t="shared" si="0"/>
        <v>27</v>
      </c>
      <c r="E23" s="119">
        <f t="shared" si="1"/>
        <v>5.4</v>
      </c>
      <c r="F23" s="116"/>
      <c r="G23" s="99"/>
      <c r="H23" s="26"/>
      <c r="I23" s="103"/>
      <c r="J23" s="219"/>
      <c r="K23" s="220"/>
      <c r="L23" s="205"/>
    </row>
    <row r="24" spans="1:17" ht="16.5" thickBot="1">
      <c r="A24" s="83">
        <v>16</v>
      </c>
      <c r="B24" s="20">
        <f aca="true" t="shared" si="2" ref="B24:B32">B23+1</f>
        <v>41431</v>
      </c>
      <c r="C24" s="21" t="s">
        <v>42</v>
      </c>
      <c r="D24" s="130">
        <f t="shared" si="0"/>
        <v>27</v>
      </c>
      <c r="E24" s="131">
        <f t="shared" si="1"/>
        <v>5.4</v>
      </c>
      <c r="F24" s="132"/>
      <c r="G24" s="105"/>
      <c r="H24" s="84"/>
      <c r="I24" s="151"/>
      <c r="J24" s="227"/>
      <c r="K24" s="228"/>
      <c r="L24" s="209"/>
      <c r="Q24" s="171"/>
    </row>
    <row r="25" spans="1:12" ht="15.75">
      <c r="A25" s="125">
        <v>17</v>
      </c>
      <c r="B25" s="126">
        <f t="shared" si="2"/>
        <v>41432</v>
      </c>
      <c r="C25" s="13" t="s">
        <v>41</v>
      </c>
      <c r="D25" s="127">
        <f t="shared" si="0"/>
        <v>27</v>
      </c>
      <c r="E25" s="128">
        <f t="shared" si="1"/>
        <v>5.4</v>
      </c>
      <c r="F25" s="129"/>
      <c r="G25" s="196">
        <v>6</v>
      </c>
      <c r="H25" s="73" t="s">
        <v>93</v>
      </c>
      <c r="I25" s="233" t="s">
        <v>94</v>
      </c>
      <c r="J25" s="217"/>
      <c r="K25" s="218"/>
      <c r="L25" s="204"/>
    </row>
    <row r="26" spans="1:12" ht="15.75">
      <c r="A26" s="82">
        <v>18</v>
      </c>
      <c r="B26" s="18">
        <f t="shared" si="2"/>
        <v>41433</v>
      </c>
      <c r="C26" s="16" t="s">
        <v>46</v>
      </c>
      <c r="D26" s="115">
        <f t="shared" si="0"/>
        <v>27</v>
      </c>
      <c r="E26" s="119">
        <f t="shared" si="1"/>
        <v>5.4</v>
      </c>
      <c r="F26" s="116"/>
      <c r="G26" s="99"/>
      <c r="H26" s="26"/>
      <c r="I26" s="103"/>
      <c r="J26" s="219"/>
      <c r="K26" s="220"/>
      <c r="L26" s="205"/>
    </row>
    <row r="27" spans="1:12" ht="15.75">
      <c r="A27" s="82">
        <v>19</v>
      </c>
      <c r="B27" s="18">
        <f t="shared" si="2"/>
        <v>41434</v>
      </c>
      <c r="C27" s="16" t="s">
        <v>47</v>
      </c>
      <c r="D27" s="122">
        <f>5*2.7</f>
        <v>13.5</v>
      </c>
      <c r="E27" s="119">
        <f t="shared" si="1"/>
        <v>5.4</v>
      </c>
      <c r="F27" s="116"/>
      <c r="G27" s="99"/>
      <c r="H27" s="26"/>
      <c r="I27" s="103"/>
      <c r="J27" s="219"/>
      <c r="K27" s="220"/>
      <c r="L27" s="205"/>
    </row>
    <row r="28" spans="1:12" ht="15.75">
      <c r="A28" s="82">
        <v>20</v>
      </c>
      <c r="B28" s="18">
        <f t="shared" si="2"/>
        <v>41435</v>
      </c>
      <c r="C28" s="16" t="s">
        <v>48</v>
      </c>
      <c r="D28" s="115">
        <v>0</v>
      </c>
      <c r="E28" s="120">
        <v>0</v>
      </c>
      <c r="F28" s="114"/>
      <c r="G28" s="99"/>
      <c r="H28" s="26"/>
      <c r="I28" s="103"/>
      <c r="J28" s="219"/>
      <c r="K28" s="220"/>
      <c r="L28" s="205"/>
    </row>
    <row r="29" spans="1:14" ht="15.75">
      <c r="A29" s="82">
        <f>A28+1</f>
        <v>21</v>
      </c>
      <c r="B29" s="18">
        <f t="shared" si="2"/>
        <v>41436</v>
      </c>
      <c r="C29" s="16" t="s">
        <v>49</v>
      </c>
      <c r="D29" s="115">
        <v>0</v>
      </c>
      <c r="E29" s="120">
        <v>0</v>
      </c>
      <c r="F29" s="114"/>
      <c r="G29" s="99"/>
      <c r="H29" s="26"/>
      <c r="I29" s="103"/>
      <c r="J29" s="219"/>
      <c r="K29" s="220"/>
      <c r="L29" s="205"/>
      <c r="N29" s="169"/>
    </row>
    <row r="30" spans="1:12" ht="16.5" thickBot="1">
      <c r="A30" s="82">
        <f>A29+1</f>
        <v>22</v>
      </c>
      <c r="B30" s="18">
        <f t="shared" si="2"/>
        <v>41437</v>
      </c>
      <c r="C30" s="16" t="s">
        <v>50</v>
      </c>
      <c r="D30" s="122">
        <f>5*2.7</f>
        <v>13.5</v>
      </c>
      <c r="E30" s="119">
        <f>2*2.7</f>
        <v>5.4</v>
      </c>
      <c r="F30" s="116"/>
      <c r="G30" s="99"/>
      <c r="H30" s="26"/>
      <c r="I30" s="151"/>
      <c r="J30" s="219"/>
      <c r="K30" s="220"/>
      <c r="L30" s="205"/>
    </row>
    <row r="31" spans="1:12" ht="15.75">
      <c r="A31" s="82">
        <f>A30+1</f>
        <v>23</v>
      </c>
      <c r="B31" s="18">
        <f t="shared" si="2"/>
        <v>41438</v>
      </c>
      <c r="C31" s="16" t="s">
        <v>51</v>
      </c>
      <c r="D31" s="115">
        <f>10*2.7</f>
        <v>27</v>
      </c>
      <c r="E31" s="119">
        <f>2*2.7</f>
        <v>5.4</v>
      </c>
      <c r="F31" s="114">
        <f>20*2.7</f>
        <v>54</v>
      </c>
      <c r="G31" s="99"/>
      <c r="H31" s="26" t="s">
        <v>54</v>
      </c>
      <c r="I31" s="170">
        <f>SUM(D21:F32)</f>
        <v>394.19999999999993</v>
      </c>
      <c r="J31" s="219">
        <f>2.7*6</f>
        <v>16.200000000000003</v>
      </c>
      <c r="K31" s="220"/>
      <c r="L31" s="205" t="s">
        <v>55</v>
      </c>
    </row>
    <row r="32" spans="1:12" ht="16.5" thickBot="1">
      <c r="A32" s="82">
        <f>A31+1</f>
        <v>24</v>
      </c>
      <c r="B32" s="18">
        <f t="shared" si="2"/>
        <v>41439</v>
      </c>
      <c r="C32" s="16" t="s">
        <v>52</v>
      </c>
      <c r="D32" s="115">
        <f>10*2.7</f>
        <v>27</v>
      </c>
      <c r="E32" s="119">
        <f>2*2.7</f>
        <v>5.4</v>
      </c>
      <c r="F32" s="116"/>
      <c r="G32" s="195">
        <v>32</v>
      </c>
      <c r="H32" s="26" t="s">
        <v>89</v>
      </c>
      <c r="I32" s="168">
        <f>I31/2.7</f>
        <v>145.99999999999997</v>
      </c>
      <c r="J32" s="220"/>
      <c r="K32" s="220"/>
      <c r="L32" s="205"/>
    </row>
    <row r="33" spans="1:12" ht="15.75">
      <c r="A33" s="59" t="s">
        <v>68</v>
      </c>
      <c r="B33" s="52"/>
      <c r="C33" s="51"/>
      <c r="D33" s="54">
        <f>SUM(D10:D32)/2.7</f>
        <v>210</v>
      </c>
      <c r="E33" s="137">
        <f>SUM(E10:E32)/2.7</f>
        <v>44.000000000000014</v>
      </c>
      <c r="F33" s="68">
        <f>SUM(F10:F32)/2.7</f>
        <v>162</v>
      </c>
      <c r="G33" s="100">
        <f>SUM(G10:G32)</f>
        <v>103</v>
      </c>
      <c r="H33" s="55"/>
      <c r="I33" s="175"/>
      <c r="J33" s="229"/>
      <c r="K33" s="229">
        <f>SUM(K10:K32)</f>
        <v>100</v>
      </c>
      <c r="L33" s="210"/>
    </row>
    <row r="34" spans="1:12" ht="16.5" thickBot="1">
      <c r="A34" s="107" t="s">
        <v>81</v>
      </c>
      <c r="B34" s="108"/>
      <c r="C34" s="109"/>
      <c r="D34" s="138"/>
      <c r="E34" s="173">
        <f>SUM(D10:F32)</f>
        <v>1123.1999999999998</v>
      </c>
      <c r="F34" s="121"/>
      <c r="G34" s="110"/>
      <c r="H34" s="111"/>
      <c r="I34" s="176"/>
      <c r="J34" s="232">
        <f>SUM(J10:J32)</f>
        <v>94.50000000000001</v>
      </c>
      <c r="K34" s="230"/>
      <c r="L34" s="211"/>
    </row>
    <row r="35" spans="1:12" ht="16.5" thickBot="1">
      <c r="A35" s="139" t="s">
        <v>69</v>
      </c>
      <c r="B35" s="140"/>
      <c r="C35" s="141"/>
      <c r="D35" s="142"/>
      <c r="E35" s="172">
        <f>E34*7.2</f>
        <v>8087.039999999999</v>
      </c>
      <c r="F35" s="143"/>
      <c r="G35" s="144">
        <f>20*G33</f>
        <v>2060</v>
      </c>
      <c r="H35" s="145"/>
      <c r="I35" s="177"/>
      <c r="J35" s="231">
        <f>J34*7.2</f>
        <v>680.4000000000001</v>
      </c>
      <c r="K35" s="231">
        <f>20*K33</f>
        <v>2000</v>
      </c>
      <c r="L35" s="212"/>
    </row>
    <row r="36" ht="15.75">
      <c r="E36" s="171"/>
    </row>
    <row r="37" spans="1:5" ht="15.75">
      <c r="A37" s="133"/>
      <c r="E37" s="135"/>
    </row>
    <row r="38" ht="15.75">
      <c r="E38" s="135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9.00390625" defaultRowHeight="15.75"/>
  <cols>
    <col min="1" max="1" width="4.125" style="1" customWidth="1"/>
    <col min="2" max="2" width="0" style="0" hidden="1" customWidth="1"/>
    <col min="3" max="3" width="13.375" style="0" customWidth="1"/>
    <col min="4" max="4" width="13.50390625" style="0" customWidth="1"/>
    <col min="5" max="5" width="6.875" style="0" customWidth="1"/>
    <col min="6" max="6" width="16.625" style="0" customWidth="1"/>
    <col min="7" max="7" width="26.25390625" style="0" customWidth="1"/>
    <col min="8" max="8" width="13.00390625" style="0" customWidth="1"/>
    <col min="9" max="9" width="20.50390625" style="0" customWidth="1"/>
    <col min="11" max="11" width="7.125" style="0" customWidth="1"/>
  </cols>
  <sheetData>
    <row r="1" spans="1:11" ht="15.75">
      <c r="A1" s="9" t="s">
        <v>73</v>
      </c>
      <c r="G1" s="9" t="s">
        <v>75</v>
      </c>
      <c r="H1" s="66">
        <f>F32+J32+K32</f>
        <v>519</v>
      </c>
      <c r="I1" s="10" t="s">
        <v>76</v>
      </c>
      <c r="J1" s="67">
        <f>D33+E33+F33+J33+K33</f>
        <v>72763</v>
      </c>
      <c r="K1" s="65" t="s">
        <v>77</v>
      </c>
    </row>
    <row r="2" ht="8.25" customHeight="1" thickBot="1">
      <c r="A2" s="9"/>
    </row>
    <row r="3" spans="1:11" ht="16.5" thickBot="1">
      <c r="A3" s="2" t="s">
        <v>1</v>
      </c>
      <c r="B3" s="3" t="s">
        <v>0</v>
      </c>
      <c r="C3" s="4" t="s">
        <v>0</v>
      </c>
      <c r="D3" s="30" t="s">
        <v>56</v>
      </c>
      <c r="E3" s="40" t="s">
        <v>59</v>
      </c>
      <c r="F3" s="22" t="s">
        <v>3</v>
      </c>
      <c r="G3" s="23" t="s">
        <v>7</v>
      </c>
      <c r="H3" s="69" t="s">
        <v>13</v>
      </c>
      <c r="I3" s="70" t="s">
        <v>7</v>
      </c>
      <c r="J3" s="22" t="s">
        <v>4</v>
      </c>
      <c r="K3" s="23" t="s">
        <v>5</v>
      </c>
    </row>
    <row r="4" spans="1:11" s="5" customFormat="1" ht="15.75">
      <c r="A4" s="6"/>
      <c r="B4" s="7"/>
      <c r="C4" s="8"/>
      <c r="D4" s="37">
        <v>30980</v>
      </c>
      <c r="E4" s="41"/>
      <c r="F4" s="42"/>
      <c r="G4" s="8" t="s">
        <v>6</v>
      </c>
      <c r="H4" s="71"/>
      <c r="I4" s="72"/>
      <c r="J4" s="24"/>
      <c r="K4" s="8"/>
    </row>
    <row r="5" spans="1:11" ht="15.75">
      <c r="A5" s="11">
        <v>0</v>
      </c>
      <c r="B5" s="12"/>
      <c r="C5" s="13" t="s">
        <v>23</v>
      </c>
      <c r="D5" s="33"/>
      <c r="E5" s="123">
        <v>12</v>
      </c>
      <c r="F5" s="28"/>
      <c r="G5" s="25" t="s">
        <v>8</v>
      </c>
      <c r="H5" s="113"/>
      <c r="I5" s="73"/>
      <c r="J5" s="31"/>
      <c r="K5" s="13"/>
    </row>
    <row r="6" spans="1:11" ht="15.75">
      <c r="A6" s="14" t="s">
        <v>2</v>
      </c>
      <c r="B6" s="15"/>
      <c r="C6" s="16" t="s">
        <v>24</v>
      </c>
      <c r="D6" s="34"/>
      <c r="E6" s="124">
        <v>12</v>
      </c>
      <c r="F6" s="29"/>
      <c r="G6" s="26" t="s">
        <v>9</v>
      </c>
      <c r="H6" s="74"/>
      <c r="I6" s="75"/>
      <c r="J6" s="32"/>
      <c r="K6" s="39"/>
    </row>
    <row r="7" spans="1:11" ht="15.75">
      <c r="A7" s="17">
        <v>1</v>
      </c>
      <c r="B7" s="18">
        <v>41416</v>
      </c>
      <c r="C7" s="16" t="s">
        <v>25</v>
      </c>
      <c r="D7" s="35">
        <v>28014</v>
      </c>
      <c r="E7" s="43"/>
      <c r="F7" s="29"/>
      <c r="G7" s="26" t="s">
        <v>22</v>
      </c>
      <c r="H7" s="74"/>
      <c r="I7" s="75"/>
      <c r="J7" s="47">
        <v>10</v>
      </c>
      <c r="K7" s="48">
        <v>2</v>
      </c>
    </row>
    <row r="8" spans="1:11" ht="15.75">
      <c r="A8" s="17">
        <v>2</v>
      </c>
      <c r="B8" s="18">
        <v>41417</v>
      </c>
      <c r="C8" s="16" t="s">
        <v>26</v>
      </c>
      <c r="D8" s="34"/>
      <c r="E8" s="44"/>
      <c r="F8" s="49">
        <f>14+10</f>
        <v>24</v>
      </c>
      <c r="G8" s="26" t="s">
        <v>10</v>
      </c>
      <c r="H8" s="112">
        <v>14</v>
      </c>
      <c r="I8" s="75" t="s">
        <v>11</v>
      </c>
      <c r="J8" s="49">
        <v>10</v>
      </c>
      <c r="K8" s="48">
        <v>2</v>
      </c>
    </row>
    <row r="9" spans="1:11" ht="15.75">
      <c r="A9" s="17">
        <v>3</v>
      </c>
      <c r="B9" s="18"/>
      <c r="C9" s="16" t="s">
        <v>27</v>
      </c>
      <c r="D9" s="34"/>
      <c r="E9" s="44"/>
      <c r="F9" s="49"/>
      <c r="G9" s="26"/>
      <c r="H9" s="112"/>
      <c r="I9" s="75"/>
      <c r="J9" s="49">
        <v>10</v>
      </c>
      <c r="K9" s="48">
        <v>2</v>
      </c>
    </row>
    <row r="10" spans="1:11" ht="15.75">
      <c r="A10" s="17">
        <v>4</v>
      </c>
      <c r="B10" s="18"/>
      <c r="C10" s="16" t="s">
        <v>28</v>
      </c>
      <c r="D10" s="34"/>
      <c r="E10" s="44"/>
      <c r="F10" s="49">
        <v>0</v>
      </c>
      <c r="G10" s="26" t="s">
        <v>29</v>
      </c>
      <c r="H10" s="112">
        <v>15</v>
      </c>
      <c r="I10" s="75" t="s">
        <v>40</v>
      </c>
      <c r="J10" s="49">
        <v>10</v>
      </c>
      <c r="K10" s="48">
        <v>2</v>
      </c>
    </row>
    <row r="11" spans="1:11" ht="15.75">
      <c r="A11" s="17">
        <v>5</v>
      </c>
      <c r="B11" s="18">
        <v>41420</v>
      </c>
      <c r="C11" s="16" t="s">
        <v>30</v>
      </c>
      <c r="D11" s="34"/>
      <c r="E11" s="44"/>
      <c r="F11" s="49">
        <v>8</v>
      </c>
      <c r="G11" s="26" t="s">
        <v>14</v>
      </c>
      <c r="H11" s="112">
        <v>100</v>
      </c>
      <c r="I11" s="75" t="s">
        <v>12</v>
      </c>
      <c r="J11" s="49">
        <v>10</v>
      </c>
      <c r="K11" s="48">
        <v>2</v>
      </c>
    </row>
    <row r="12" spans="1:11" ht="15.75">
      <c r="A12" s="17">
        <v>6</v>
      </c>
      <c r="B12" s="18">
        <v>41421</v>
      </c>
      <c r="C12" s="16" t="s">
        <v>31</v>
      </c>
      <c r="D12" s="34"/>
      <c r="E12" s="44"/>
      <c r="F12" s="49">
        <v>14</v>
      </c>
      <c r="G12" s="26" t="s">
        <v>15</v>
      </c>
      <c r="H12" s="112"/>
      <c r="I12" s="75"/>
      <c r="J12" s="49">
        <v>10</v>
      </c>
      <c r="K12" s="48">
        <v>2</v>
      </c>
    </row>
    <row r="13" spans="1:11" ht="15.75">
      <c r="A13" s="17">
        <v>7</v>
      </c>
      <c r="B13" s="18">
        <v>41422</v>
      </c>
      <c r="C13" s="16" t="s">
        <v>32</v>
      </c>
      <c r="D13" s="34"/>
      <c r="E13" s="44"/>
      <c r="F13" s="49">
        <v>6</v>
      </c>
      <c r="G13" s="26" t="s">
        <v>16</v>
      </c>
      <c r="H13" s="112"/>
      <c r="I13" s="75"/>
      <c r="J13" s="49">
        <v>10</v>
      </c>
      <c r="K13" s="48">
        <v>2</v>
      </c>
    </row>
    <row r="14" spans="1:11" ht="15.75">
      <c r="A14" s="17">
        <v>8</v>
      </c>
      <c r="B14" s="18">
        <v>41423</v>
      </c>
      <c r="C14" s="16" t="s">
        <v>33</v>
      </c>
      <c r="D14" s="34"/>
      <c r="E14" s="44"/>
      <c r="F14" s="49"/>
      <c r="G14" s="26"/>
      <c r="H14" s="112"/>
      <c r="I14" s="75"/>
      <c r="J14" s="49">
        <v>10</v>
      </c>
      <c r="K14" s="48">
        <v>2</v>
      </c>
    </row>
    <row r="15" spans="1:11" ht="15.75">
      <c r="A15" s="17">
        <v>9</v>
      </c>
      <c r="B15" s="18">
        <v>41424</v>
      </c>
      <c r="C15" s="16" t="s">
        <v>34</v>
      </c>
      <c r="D15" s="34"/>
      <c r="E15" s="44"/>
      <c r="F15" s="49"/>
      <c r="G15" s="26"/>
      <c r="H15" s="112"/>
      <c r="I15" s="75"/>
      <c r="J15" s="49">
        <v>10</v>
      </c>
      <c r="K15" s="48">
        <v>2</v>
      </c>
    </row>
    <row r="16" spans="1:11" ht="15.75">
      <c r="A16" s="17">
        <v>10</v>
      </c>
      <c r="B16" s="18">
        <v>41425</v>
      </c>
      <c r="C16" s="16" t="s">
        <v>35</v>
      </c>
      <c r="D16" s="34"/>
      <c r="E16" s="44"/>
      <c r="F16" s="49"/>
      <c r="G16" s="26"/>
      <c r="H16" s="112"/>
      <c r="I16" s="75"/>
      <c r="J16" s="49">
        <v>10</v>
      </c>
      <c r="K16" s="48">
        <v>2</v>
      </c>
    </row>
    <row r="17" spans="1:11" ht="15.75">
      <c r="A17" s="17">
        <v>11</v>
      </c>
      <c r="B17" s="18">
        <v>41426</v>
      </c>
      <c r="C17" s="16" t="s">
        <v>36</v>
      </c>
      <c r="D17" s="34"/>
      <c r="E17" s="44"/>
      <c r="F17" s="49">
        <v>6</v>
      </c>
      <c r="G17" s="26" t="s">
        <v>17</v>
      </c>
      <c r="H17" s="112"/>
      <c r="I17" s="75"/>
      <c r="J17" s="49">
        <v>10</v>
      </c>
      <c r="K17" s="48">
        <v>2</v>
      </c>
    </row>
    <row r="18" spans="1:11" ht="15.75">
      <c r="A18" s="17">
        <v>12</v>
      </c>
      <c r="B18" s="18">
        <v>41427</v>
      </c>
      <c r="C18" s="16" t="s">
        <v>37</v>
      </c>
      <c r="D18" s="34"/>
      <c r="E18" s="44"/>
      <c r="F18" s="49">
        <f>8+10</f>
        <v>18</v>
      </c>
      <c r="G18" s="26" t="s">
        <v>38</v>
      </c>
      <c r="H18" s="112"/>
      <c r="I18" s="75"/>
      <c r="J18" s="49">
        <v>10</v>
      </c>
      <c r="K18" s="48">
        <v>2</v>
      </c>
    </row>
    <row r="19" spans="1:11" ht="15.75">
      <c r="A19" s="17">
        <v>13</v>
      </c>
      <c r="B19" s="18">
        <v>41428</v>
      </c>
      <c r="C19" s="16" t="s">
        <v>44</v>
      </c>
      <c r="D19" s="34"/>
      <c r="E19" s="44"/>
      <c r="F19" s="49">
        <f>3+3</f>
        <v>6</v>
      </c>
      <c r="G19" s="26" t="s">
        <v>18</v>
      </c>
      <c r="H19" s="112"/>
      <c r="I19" s="75"/>
      <c r="J19" s="49">
        <v>10</v>
      </c>
      <c r="K19" s="48">
        <v>2</v>
      </c>
    </row>
    <row r="20" spans="1:11" ht="15.75">
      <c r="A20" s="17">
        <v>14</v>
      </c>
      <c r="B20" s="18">
        <v>41429</v>
      </c>
      <c r="C20" s="16" t="s">
        <v>45</v>
      </c>
      <c r="D20" s="34"/>
      <c r="E20" s="44"/>
      <c r="F20" s="49">
        <f>65+10</f>
        <v>75</v>
      </c>
      <c r="G20" s="26" t="s">
        <v>19</v>
      </c>
      <c r="H20" s="112"/>
      <c r="I20" s="75"/>
      <c r="J20" s="49">
        <v>10</v>
      </c>
      <c r="K20" s="48">
        <v>2</v>
      </c>
    </row>
    <row r="21" spans="1:11" ht="15.75">
      <c r="A21" s="17">
        <v>15</v>
      </c>
      <c r="B21" s="18">
        <v>41430</v>
      </c>
      <c r="C21" s="16" t="s">
        <v>43</v>
      </c>
      <c r="D21" s="34"/>
      <c r="E21" s="44"/>
      <c r="F21" s="49"/>
      <c r="G21" s="26"/>
      <c r="H21" s="112"/>
      <c r="I21" s="75"/>
      <c r="J21" s="49">
        <v>10</v>
      </c>
      <c r="K21" s="48">
        <v>2</v>
      </c>
    </row>
    <row r="22" spans="1:11" ht="15.75">
      <c r="A22" s="17">
        <v>16</v>
      </c>
      <c r="B22" s="18">
        <f aca="true" t="shared" si="0" ref="B22:B30">B21+1</f>
        <v>41431</v>
      </c>
      <c r="C22" s="16" t="s">
        <v>42</v>
      </c>
      <c r="D22" s="34"/>
      <c r="E22" s="44"/>
      <c r="F22" s="49">
        <v>50</v>
      </c>
      <c r="G22" s="26" t="s">
        <v>39</v>
      </c>
      <c r="H22" s="112"/>
      <c r="I22" s="75"/>
      <c r="J22" s="49">
        <v>10</v>
      </c>
      <c r="K22" s="48">
        <v>2</v>
      </c>
    </row>
    <row r="23" spans="1:11" ht="15.75">
      <c r="A23" s="17">
        <v>17</v>
      </c>
      <c r="B23" s="18">
        <f t="shared" si="0"/>
        <v>41432</v>
      </c>
      <c r="C23" s="16" t="s">
        <v>41</v>
      </c>
      <c r="D23" s="35">
        <v>2419</v>
      </c>
      <c r="E23" s="44"/>
      <c r="F23" s="112">
        <v>6</v>
      </c>
      <c r="G23" s="75" t="s">
        <v>21</v>
      </c>
      <c r="H23" s="112"/>
      <c r="I23" s="75"/>
      <c r="J23" s="49">
        <v>10</v>
      </c>
      <c r="K23" s="48">
        <v>2</v>
      </c>
    </row>
    <row r="24" spans="1:11" ht="15.75">
      <c r="A24" s="17">
        <v>18</v>
      </c>
      <c r="B24" s="18">
        <f t="shared" si="0"/>
        <v>41433</v>
      </c>
      <c r="C24" s="16" t="s">
        <v>46</v>
      </c>
      <c r="D24" s="34"/>
      <c r="E24" s="44"/>
      <c r="F24" s="49"/>
      <c r="G24" s="26"/>
      <c r="H24" s="112"/>
      <c r="I24" s="75"/>
      <c r="J24" s="49">
        <v>10</v>
      </c>
      <c r="K24" s="48">
        <v>2</v>
      </c>
    </row>
    <row r="25" spans="1:11" ht="15.75">
      <c r="A25" s="17">
        <v>19</v>
      </c>
      <c r="B25" s="18">
        <f t="shared" si="0"/>
        <v>41434</v>
      </c>
      <c r="C25" s="16" t="s">
        <v>47</v>
      </c>
      <c r="D25" s="34"/>
      <c r="E25" s="44"/>
      <c r="F25" s="49"/>
      <c r="G25" s="26"/>
      <c r="H25" s="112"/>
      <c r="I25" s="75"/>
      <c r="J25" s="49">
        <v>5</v>
      </c>
      <c r="K25" s="48">
        <v>2</v>
      </c>
    </row>
    <row r="26" spans="1:11" ht="15.75">
      <c r="A26" s="17">
        <v>20</v>
      </c>
      <c r="B26" s="18">
        <f t="shared" si="0"/>
        <v>41435</v>
      </c>
      <c r="C26" s="16" t="s">
        <v>48</v>
      </c>
      <c r="D26" s="34"/>
      <c r="E26" s="44"/>
      <c r="F26" s="49"/>
      <c r="G26" s="26"/>
      <c r="H26" s="112"/>
      <c r="I26" s="75"/>
      <c r="J26" s="49">
        <v>0</v>
      </c>
      <c r="K26" s="48">
        <v>0</v>
      </c>
    </row>
    <row r="27" spans="1:11" ht="15.75">
      <c r="A27" s="17">
        <f>A26+1</f>
        <v>21</v>
      </c>
      <c r="B27" s="18">
        <f t="shared" si="0"/>
        <v>41436</v>
      </c>
      <c r="C27" s="16" t="s">
        <v>49</v>
      </c>
      <c r="D27" s="34"/>
      <c r="E27" s="44"/>
      <c r="F27" s="49"/>
      <c r="G27" s="26"/>
      <c r="H27" s="112"/>
      <c r="I27" s="75"/>
      <c r="J27" s="49">
        <v>0</v>
      </c>
      <c r="K27" s="48">
        <v>0</v>
      </c>
    </row>
    <row r="28" spans="1:11" ht="15.75">
      <c r="A28" s="17">
        <f>A27+1</f>
        <v>22</v>
      </c>
      <c r="B28" s="18">
        <f t="shared" si="0"/>
        <v>41437</v>
      </c>
      <c r="C28" s="16" t="s">
        <v>50</v>
      </c>
      <c r="D28" s="34"/>
      <c r="E28" s="44"/>
      <c r="F28" s="49"/>
      <c r="G28" s="26"/>
      <c r="H28" s="112"/>
      <c r="I28" s="75"/>
      <c r="J28" s="49">
        <v>5</v>
      </c>
      <c r="K28" s="48">
        <v>2</v>
      </c>
    </row>
    <row r="29" spans="1:11" ht="15.75">
      <c r="A29" s="17">
        <f>A28+1</f>
        <v>23</v>
      </c>
      <c r="B29" s="18">
        <f t="shared" si="0"/>
        <v>41438</v>
      </c>
      <c r="C29" s="16" t="s">
        <v>51</v>
      </c>
      <c r="D29" s="34"/>
      <c r="E29" s="44"/>
      <c r="F29" s="49">
        <v>20</v>
      </c>
      <c r="G29" s="26" t="s">
        <v>54</v>
      </c>
      <c r="H29" s="112">
        <v>6</v>
      </c>
      <c r="I29" s="75" t="s">
        <v>55</v>
      </c>
      <c r="J29" s="49">
        <v>10</v>
      </c>
      <c r="K29" s="48">
        <v>2</v>
      </c>
    </row>
    <row r="30" spans="1:11" ht="15.75">
      <c r="A30" s="17">
        <f>A29+1</f>
        <v>24</v>
      </c>
      <c r="B30" s="18">
        <f t="shared" si="0"/>
        <v>41439</v>
      </c>
      <c r="C30" s="16" t="s">
        <v>52</v>
      </c>
      <c r="D30" s="34"/>
      <c r="E30" s="44"/>
      <c r="F30" s="49">
        <v>32</v>
      </c>
      <c r="G30" s="26" t="s">
        <v>67</v>
      </c>
      <c r="H30" s="112"/>
      <c r="I30" s="75"/>
      <c r="J30" s="49">
        <v>10</v>
      </c>
      <c r="K30" s="48">
        <v>2</v>
      </c>
    </row>
    <row r="31" spans="1:11" ht="16.5" thickBot="1">
      <c r="A31" s="19">
        <v>25</v>
      </c>
      <c r="B31" s="20">
        <v>41440</v>
      </c>
      <c r="C31" s="21" t="s">
        <v>53</v>
      </c>
      <c r="D31" s="36">
        <v>370</v>
      </c>
      <c r="E31" s="45"/>
      <c r="F31" s="50"/>
      <c r="G31" s="27" t="s">
        <v>20</v>
      </c>
      <c r="H31" s="76"/>
      <c r="I31" s="77"/>
      <c r="J31" s="38"/>
      <c r="K31" s="46"/>
    </row>
    <row r="32" spans="1:11" ht="15.75">
      <c r="A32" s="59" t="s">
        <v>58</v>
      </c>
      <c r="B32" s="52"/>
      <c r="C32" s="51"/>
      <c r="D32" s="52"/>
      <c r="E32" s="53">
        <f>SUM(E5:E31)</f>
        <v>24</v>
      </c>
      <c r="F32" s="54">
        <f>SUM(F4:F31)</f>
        <v>265</v>
      </c>
      <c r="G32" s="55"/>
      <c r="H32" s="78">
        <f>SUM(H4:H31)</f>
        <v>135</v>
      </c>
      <c r="I32" s="79"/>
      <c r="J32" s="54">
        <f>SUM(J4:J31)</f>
        <v>210</v>
      </c>
      <c r="K32" s="68">
        <f>SUM(K7:K31)</f>
        <v>44</v>
      </c>
    </row>
    <row r="33" spans="1:11" ht="16.5" thickBot="1">
      <c r="A33" s="60" t="s">
        <v>57</v>
      </c>
      <c r="B33" s="61"/>
      <c r="C33" s="62"/>
      <c r="D33" s="56">
        <f>SUM(D4:D31)</f>
        <v>61783</v>
      </c>
      <c r="E33" s="57">
        <f>E32*25</f>
        <v>600</v>
      </c>
      <c r="F33" s="63">
        <f>20*F32</f>
        <v>5300</v>
      </c>
      <c r="G33" s="58"/>
      <c r="H33" s="80">
        <f>20*H32</f>
        <v>2700</v>
      </c>
      <c r="I33" s="81"/>
      <c r="J33" s="63">
        <f>20*J32</f>
        <v>4200</v>
      </c>
      <c r="K33" s="64">
        <f>20*K32</f>
        <v>880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34.875" style="237" customWidth="1"/>
    <col min="2" max="4" width="11.75390625" style="237" customWidth="1"/>
    <col min="5" max="5" width="10.75390625" style="237" customWidth="1"/>
    <col min="6" max="14" width="9.00390625" style="237" customWidth="1"/>
  </cols>
  <sheetData>
    <row r="1" spans="1:4" ht="18.75">
      <c r="A1" s="234" t="s">
        <v>98</v>
      </c>
      <c r="B1" s="234"/>
      <c r="C1" s="235" t="s">
        <v>99</v>
      </c>
      <c r="D1" s="236">
        <v>400</v>
      </c>
    </row>
    <row r="2" ht="16.5" thickBot="1"/>
    <row r="3" spans="1:4" ht="30" thickBot="1">
      <c r="A3" s="238" t="s">
        <v>100</v>
      </c>
      <c r="B3" s="239" t="s">
        <v>101</v>
      </c>
      <c r="C3" s="240" t="s">
        <v>102</v>
      </c>
      <c r="D3" s="241" t="s">
        <v>103</v>
      </c>
    </row>
    <row r="4" spans="1:4" ht="15.75">
      <c r="A4" s="242"/>
      <c r="B4" s="243"/>
      <c r="C4" s="244"/>
      <c r="D4" s="245"/>
    </row>
    <row r="5" spans="1:4" ht="15.75">
      <c r="A5" s="246" t="s">
        <v>104</v>
      </c>
      <c r="B5" s="247">
        <v>20.25</v>
      </c>
      <c r="C5" s="248">
        <v>20.6</v>
      </c>
      <c r="D5" s="249">
        <v>20.69</v>
      </c>
    </row>
    <row r="6" spans="1:6" ht="15.75">
      <c r="A6" s="250" t="s">
        <v>105</v>
      </c>
      <c r="B6" s="251">
        <f>$D$1*B5</f>
        <v>8100</v>
      </c>
      <c r="C6" s="252">
        <f>$D$1*C5</f>
        <v>8240</v>
      </c>
      <c r="D6" s="253">
        <f>$D$1*D5</f>
        <v>8276</v>
      </c>
      <c r="F6" s="254"/>
    </row>
    <row r="7" spans="1:4" ht="15.75">
      <c r="A7" s="250" t="s">
        <v>106</v>
      </c>
      <c r="B7" s="255">
        <v>0</v>
      </c>
      <c r="C7" s="256">
        <v>0</v>
      </c>
      <c r="D7" s="257">
        <v>0.025</v>
      </c>
    </row>
    <row r="8" spans="1:4" ht="15.75">
      <c r="A8" s="258" t="s">
        <v>107</v>
      </c>
      <c r="B8" s="259">
        <v>0</v>
      </c>
      <c r="C8" s="260">
        <v>0</v>
      </c>
      <c r="D8" s="261">
        <f>$D$6*D7</f>
        <v>206.9</v>
      </c>
    </row>
    <row r="9" spans="1:4" ht="16.5" thickBot="1">
      <c r="A9" s="262" t="s">
        <v>108</v>
      </c>
      <c r="B9" s="263"/>
      <c r="C9" s="264" t="s">
        <v>109</v>
      </c>
      <c r="D9" s="265"/>
    </row>
    <row r="10" spans="1:4" ht="15.75">
      <c r="A10" s="266" t="s">
        <v>110</v>
      </c>
      <c r="B10" s="267">
        <f>SUM(B6:B8)</f>
        <v>8100</v>
      </c>
      <c r="C10" s="268">
        <f>SUM(C6:C8)</f>
        <v>8240</v>
      </c>
      <c r="D10" s="269">
        <f>SUM(D6:D8)</f>
        <v>8482.925</v>
      </c>
    </row>
    <row r="11" spans="1:4" ht="16.5" thickBot="1">
      <c r="A11" s="270" t="s">
        <v>111</v>
      </c>
      <c r="B11" s="271">
        <f>B10/$D$1</f>
        <v>20.25</v>
      </c>
      <c r="C11" s="272">
        <f>C10/$D$1</f>
        <v>20.6</v>
      </c>
      <c r="D11" s="273">
        <f>D10/$D$1</f>
        <v>21.207312499999997</v>
      </c>
    </row>
    <row r="12" spans="1:4" ht="15.75">
      <c r="A12" s="274"/>
      <c r="B12" s="275"/>
      <c r="C12" s="276"/>
      <c r="D12" s="277"/>
    </row>
    <row r="13" spans="1:4" ht="15.75">
      <c r="A13" s="278" t="s">
        <v>112</v>
      </c>
      <c r="B13" s="279">
        <v>0.02</v>
      </c>
      <c r="C13" s="280">
        <v>0.02</v>
      </c>
      <c r="D13" s="281">
        <v>0.02</v>
      </c>
    </row>
    <row r="14" spans="1:4" ht="15.75">
      <c r="A14" s="278" t="s">
        <v>113</v>
      </c>
      <c r="B14" s="282">
        <f>0.02*$D$1</f>
        <v>8</v>
      </c>
      <c r="C14" s="283">
        <f>0.02*$D$1</f>
        <v>8</v>
      </c>
      <c r="D14" s="284">
        <f>0.02*$D$1</f>
        <v>8</v>
      </c>
    </row>
    <row r="15" spans="1:4" ht="16.5" thickBot="1">
      <c r="A15" s="285" t="s">
        <v>107</v>
      </c>
      <c r="B15" s="286">
        <f>B14*20.6</f>
        <v>164.8</v>
      </c>
      <c r="C15" s="287">
        <f>C14*20.6</f>
        <v>164.8</v>
      </c>
      <c r="D15" s="288">
        <f>D14*20.6</f>
        <v>164.8</v>
      </c>
    </row>
    <row r="16" spans="1:4" ht="15.75">
      <c r="A16" s="266" t="s">
        <v>114</v>
      </c>
      <c r="B16" s="289">
        <f>2.7*(D1-B14)</f>
        <v>1058.4</v>
      </c>
      <c r="C16" s="290">
        <f>2.7*(D1-C14)</f>
        <v>1058.4</v>
      </c>
      <c r="D16" s="291">
        <f>2.7*(D1-D14)</f>
        <v>1058.4</v>
      </c>
    </row>
    <row r="17" spans="1:4" ht="15.75">
      <c r="A17" s="292" t="s">
        <v>115</v>
      </c>
      <c r="B17" s="293">
        <f>B10+B15</f>
        <v>8264.8</v>
      </c>
      <c r="C17" s="294">
        <f>C10+C15</f>
        <v>8404.8</v>
      </c>
      <c r="D17" s="295">
        <f>D10+D15</f>
        <v>8647.724999999999</v>
      </c>
    </row>
    <row r="18" spans="1:4" ht="16.5" thickBot="1">
      <c r="A18" s="296" t="s">
        <v>116</v>
      </c>
      <c r="B18" s="297">
        <f>B17/B16</f>
        <v>7.808767951625093</v>
      </c>
      <c r="C18" s="298">
        <f>C17/C16</f>
        <v>7.941043083900225</v>
      </c>
      <c r="D18" s="299">
        <f>D17/D16</f>
        <v>8.170564058956915</v>
      </c>
    </row>
    <row r="19" spans="1:3" ht="15.75">
      <c r="A19" s="300"/>
      <c r="C19" s="301"/>
    </row>
    <row r="21" ht="18.75">
      <c r="A21" s="234" t="s">
        <v>117</v>
      </c>
    </row>
    <row r="22" ht="16.5" thickBot="1"/>
    <row r="23" spans="1:5" ht="44.25" thickBot="1">
      <c r="A23" s="302" t="s">
        <v>118</v>
      </c>
      <c r="B23" s="303" t="s">
        <v>119</v>
      </c>
      <c r="C23" s="304" t="s">
        <v>120</v>
      </c>
      <c r="D23" s="240" t="s">
        <v>121</v>
      </c>
      <c r="E23" s="241" t="s">
        <v>122</v>
      </c>
    </row>
    <row r="24" spans="1:5" ht="15.75">
      <c r="A24" s="305"/>
      <c r="B24" s="306"/>
      <c r="C24" s="307"/>
      <c r="D24" s="308"/>
      <c r="E24" s="245"/>
    </row>
    <row r="25" spans="1:5" ht="15.75">
      <c r="A25" s="309" t="s">
        <v>123</v>
      </c>
      <c r="B25" s="310">
        <v>7.2</v>
      </c>
      <c r="C25" s="311">
        <v>7.2</v>
      </c>
      <c r="D25" s="312">
        <v>7.2</v>
      </c>
      <c r="E25" s="313">
        <v>7.2</v>
      </c>
    </row>
    <row r="26" spans="1:5" ht="15.75">
      <c r="A26" s="314" t="s">
        <v>124</v>
      </c>
      <c r="B26" s="315">
        <v>200</v>
      </c>
      <c r="C26" s="316">
        <v>500</v>
      </c>
      <c r="D26" s="283">
        <v>500</v>
      </c>
      <c r="E26" s="284">
        <v>680</v>
      </c>
    </row>
    <row r="27" spans="1:5" ht="15.75">
      <c r="A27" s="317" t="s">
        <v>125</v>
      </c>
      <c r="B27" s="318">
        <f>2.7*B26</f>
        <v>540</v>
      </c>
      <c r="C27" s="319">
        <v>1500</v>
      </c>
      <c r="D27" s="320">
        <v>1500</v>
      </c>
      <c r="E27" s="321">
        <v>1900</v>
      </c>
    </row>
    <row r="28" spans="1:5" ht="15.75">
      <c r="A28" s="322" t="s">
        <v>126</v>
      </c>
      <c r="B28" s="323">
        <f>B27*B25</f>
        <v>3888</v>
      </c>
      <c r="C28" s="324">
        <f>C27*C25</f>
        <v>10800</v>
      </c>
      <c r="D28" s="325">
        <f>D27*D25</f>
        <v>10800</v>
      </c>
      <c r="E28" s="326">
        <f>E27*E25</f>
        <v>13680</v>
      </c>
    </row>
    <row r="29" spans="1:5" ht="15.75">
      <c r="A29" s="327" t="s">
        <v>127</v>
      </c>
      <c r="B29" s="315">
        <v>0</v>
      </c>
      <c r="C29" s="316">
        <v>0</v>
      </c>
      <c r="D29" s="283">
        <v>2</v>
      </c>
      <c r="E29" s="284">
        <v>5</v>
      </c>
    </row>
    <row r="30" spans="1:5" ht="15.75">
      <c r="A30" s="327" t="s">
        <v>128</v>
      </c>
      <c r="B30" s="328">
        <v>0</v>
      </c>
      <c r="C30" s="329">
        <f>C29*20</f>
        <v>0</v>
      </c>
      <c r="D30" s="252">
        <f>D29*20</f>
        <v>40</v>
      </c>
      <c r="E30" s="253">
        <v>100</v>
      </c>
    </row>
    <row r="31" spans="1:5" ht="16.5" thickBot="1">
      <c r="A31" s="330" t="s">
        <v>129</v>
      </c>
      <c r="B31" s="331">
        <v>100</v>
      </c>
      <c r="C31" s="332">
        <v>100</v>
      </c>
      <c r="D31" s="260">
        <v>100</v>
      </c>
      <c r="E31" s="333">
        <v>100</v>
      </c>
    </row>
    <row r="32" spans="1:5" ht="15.75">
      <c r="A32" s="334" t="s">
        <v>115</v>
      </c>
      <c r="B32" s="335">
        <f>B28+B30+B31</f>
        <v>3988</v>
      </c>
      <c r="C32" s="336">
        <f>C28+C30+C31</f>
        <v>10900</v>
      </c>
      <c r="D32" s="337">
        <f>D28+D30+D31</f>
        <v>10940</v>
      </c>
      <c r="E32" s="338">
        <f>E28+E30+E31</f>
        <v>13880</v>
      </c>
    </row>
    <row r="33" spans="1:5" ht="16.5" thickBot="1">
      <c r="A33" s="296" t="s">
        <v>116</v>
      </c>
      <c r="B33" s="339">
        <f>B32/B27</f>
        <v>7.385185185185185</v>
      </c>
      <c r="C33" s="340">
        <f>C32/C27</f>
        <v>7.266666666666667</v>
      </c>
      <c r="D33" s="341">
        <f>D32/D27</f>
        <v>7.293333333333333</v>
      </c>
      <c r="E33" s="299">
        <f>E32/E27</f>
        <v>7.3052631578947365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Tojnar</dc:creator>
  <cp:keywords/>
  <dc:description/>
  <cp:lastModifiedBy>Jan Tojnar</cp:lastModifiedBy>
  <cp:lastPrinted>2014-06-02T08:18:04Z</cp:lastPrinted>
  <dcterms:created xsi:type="dcterms:W3CDTF">2013-12-02T11:49:38Z</dcterms:created>
  <dcterms:modified xsi:type="dcterms:W3CDTF">2014-06-04T17:15:50Z</dcterms:modified>
  <cp:category/>
  <cp:version/>
  <cp:contentType/>
  <cp:contentStatus/>
</cp:coreProperties>
</file>