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510" activeTab="1"/>
  </bookViews>
  <sheets>
    <sheet name="Plán výletu" sheetId="23" r:id="rId1"/>
    <sheet name="Realita Výletu" sheetId="22" r:id="rId2"/>
  </sheets>
  <calcPr calcId="145621"/>
</workbook>
</file>

<file path=xl/calcChain.xml><?xml version="1.0" encoding="utf-8"?>
<calcChain xmlns="http://schemas.openxmlformats.org/spreadsheetml/2006/main">
  <c r="J77" i="22" l="1"/>
  <c r="I11" i="23" l="1"/>
  <c r="J11" i="23"/>
  <c r="J13" i="23"/>
  <c r="J14" i="23"/>
  <c r="I16" i="23"/>
  <c r="J16" i="23"/>
  <c r="I20" i="23"/>
  <c r="J20" i="23"/>
  <c r="J24" i="23"/>
  <c r="I25" i="23"/>
  <c r="J25" i="23" s="1"/>
  <c r="I27" i="23"/>
  <c r="J27" i="23"/>
  <c r="I28" i="23"/>
  <c r="J28" i="23" s="1"/>
  <c r="C29" i="23"/>
  <c r="I29" i="23"/>
  <c r="J29" i="23"/>
  <c r="I33" i="23"/>
  <c r="J33" i="23"/>
  <c r="C34" i="23"/>
  <c r="I34" i="23"/>
  <c r="J34" i="23" s="1"/>
  <c r="I39" i="23"/>
  <c r="J39" i="23"/>
  <c r="C40" i="23"/>
  <c r="I40" i="23"/>
  <c r="J40" i="23"/>
  <c r="J41" i="23"/>
  <c r="J42" i="23"/>
  <c r="J45" i="23"/>
  <c r="I46" i="23"/>
  <c r="J46" i="23"/>
  <c r="C47" i="23"/>
  <c r="C48" i="23"/>
  <c r="I48" i="23"/>
  <c r="J48" i="23"/>
  <c r="I49" i="23"/>
  <c r="J49" i="23" s="1"/>
  <c r="I52" i="23"/>
  <c r="J52" i="23"/>
  <c r="I56" i="23"/>
  <c r="J56" i="23" s="1"/>
  <c r="C57" i="23"/>
  <c r="J59" i="23"/>
  <c r="J60" i="23"/>
  <c r="D65" i="23"/>
  <c r="F65" i="23"/>
  <c r="D66" i="23"/>
  <c r="F66" i="23"/>
  <c r="D67" i="23"/>
  <c r="F67" i="23"/>
  <c r="C68" i="23"/>
  <c r="G65" i="23" s="1"/>
  <c r="H65" i="23" s="1"/>
  <c r="I65" i="23" s="1"/>
  <c r="J65" i="23" s="1"/>
  <c r="J70" i="23" s="1"/>
  <c r="D68" i="23"/>
  <c r="I68" i="23" s="1"/>
  <c r="J68" i="23" s="1"/>
  <c r="F69" i="23"/>
  <c r="J69" i="23"/>
  <c r="D70" i="23"/>
  <c r="F70" i="23"/>
  <c r="J75" i="23"/>
  <c r="J76" i="23"/>
  <c r="I77" i="23"/>
  <c r="J77" i="23"/>
  <c r="C78" i="23"/>
  <c r="I78" i="23"/>
  <c r="J78" i="23"/>
  <c r="I79" i="23"/>
  <c r="J79" i="23"/>
  <c r="I80" i="23"/>
  <c r="J80" i="23"/>
  <c r="C84" i="23"/>
  <c r="I84" i="23"/>
  <c r="J84" i="23" s="1"/>
  <c r="I85" i="23"/>
  <c r="J85" i="23"/>
  <c r="I87" i="23"/>
  <c r="J87" i="23" s="1"/>
  <c r="C88" i="23"/>
  <c r="I88" i="23"/>
  <c r="J88" i="23"/>
  <c r="I89" i="23"/>
  <c r="J89" i="23"/>
  <c r="C90" i="23"/>
  <c r="C93" i="23"/>
  <c r="I93" i="23"/>
  <c r="J93" i="23"/>
  <c r="J94" i="23"/>
  <c r="J95" i="23"/>
  <c r="J96" i="23"/>
  <c r="D102" i="23"/>
  <c r="E102" i="23" s="1"/>
  <c r="J102" i="23"/>
  <c r="I102" i="23" s="1"/>
  <c r="D103" i="23"/>
  <c r="E103" i="23" s="1"/>
  <c r="B104" i="23"/>
  <c r="D104" i="23" s="1"/>
  <c r="E104" i="23" s="1"/>
  <c r="D105" i="23"/>
  <c r="E105" i="23"/>
  <c r="J105" i="23"/>
  <c r="I105" i="23" s="1"/>
  <c r="B106" i="23"/>
  <c r="D106" i="23"/>
  <c r="E106" i="23"/>
  <c r="I9" i="22"/>
  <c r="J9" i="22"/>
  <c r="B13" i="22"/>
  <c r="I14" i="22"/>
  <c r="I122" i="22" s="1"/>
  <c r="A19" i="22"/>
  <c r="B19" i="22"/>
  <c r="I19" i="22"/>
  <c r="J19" i="22"/>
  <c r="J122" i="22" s="1"/>
  <c r="I23" i="22"/>
  <c r="J23" i="22"/>
  <c r="B25" i="22"/>
  <c r="B28" i="22"/>
  <c r="J28" i="22"/>
  <c r="B33" i="22"/>
  <c r="J33" i="22"/>
  <c r="B44" i="22"/>
  <c r="I44" i="22"/>
  <c r="J44" i="22"/>
  <c r="I46" i="22"/>
  <c r="J46" i="22"/>
  <c r="B47" i="22"/>
  <c r="B53" i="22"/>
  <c r="I57" i="22"/>
  <c r="B61" i="22"/>
  <c r="B65" i="22"/>
  <c r="B66" i="22"/>
  <c r="B67" i="22"/>
  <c r="J67" i="22"/>
  <c r="J68" i="22"/>
  <c r="I74" i="22"/>
  <c r="J74" i="22"/>
  <c r="A79" i="22"/>
  <c r="B79" i="22"/>
  <c r="I82" i="22"/>
  <c r="J82" i="22"/>
  <c r="I83" i="22"/>
  <c r="J83" i="22"/>
  <c r="B85" i="22"/>
  <c r="A87" i="22"/>
  <c r="B87" i="22" s="1"/>
  <c r="B94" i="22"/>
  <c r="B103" i="22"/>
  <c r="J105" i="22"/>
  <c r="B111" i="22"/>
  <c r="I113" i="22"/>
  <c r="J113" i="22"/>
  <c r="B114" i="22"/>
  <c r="B115" i="22"/>
  <c r="B116" i="22"/>
  <c r="J117" i="22"/>
  <c r="J118" i="22"/>
  <c r="J123" i="22"/>
  <c r="J126" i="22" s="1"/>
  <c r="I126" i="22" s="1"/>
  <c r="J101" i="23" l="1"/>
  <c r="J66" i="23"/>
  <c r="I101" i="23"/>
  <c r="G66" i="23"/>
  <c r="H66" i="23" s="1"/>
  <c r="I66" i="23" s="1"/>
  <c r="G67" i="23"/>
  <c r="H67" i="23" s="1"/>
  <c r="I67" i="23" s="1"/>
  <c r="J67" i="23" s="1"/>
  <c r="J124" i="22"/>
  <c r="J125" i="22"/>
  <c r="J127" i="22" s="1"/>
  <c r="I124" i="22"/>
  <c r="I125" i="22"/>
  <c r="I127" i="22" s="1"/>
  <c r="I123" i="22"/>
  <c r="I103" i="23" l="1"/>
  <c r="I104" i="23"/>
  <c r="I106" i="23" s="1"/>
  <c r="J103" i="23"/>
  <c r="J104" i="23"/>
  <c r="J106" i="23" s="1"/>
</calcChain>
</file>

<file path=xl/sharedStrings.xml><?xml version="1.0" encoding="utf-8"?>
<sst xmlns="http://schemas.openxmlformats.org/spreadsheetml/2006/main" count="1012" uniqueCount="535">
  <si>
    <t>Start</t>
  </si>
  <si>
    <t>Day</t>
  </si>
  <si>
    <t>Ross River Resort</t>
  </si>
  <si>
    <t>22.7.</t>
  </si>
  <si>
    <t>Den</t>
  </si>
  <si>
    <t>Pátek</t>
  </si>
  <si>
    <t>Sobota</t>
  </si>
  <si>
    <t>Neděle</t>
  </si>
  <si>
    <t>Pondělí</t>
  </si>
  <si>
    <t>Úterý</t>
  </si>
  <si>
    <t>Středa</t>
  </si>
  <si>
    <t>15.7.</t>
  </si>
  <si>
    <t>16.7.</t>
  </si>
  <si>
    <t>17.7.</t>
  </si>
  <si>
    <t>18.7.</t>
  </si>
  <si>
    <t>19.7.</t>
  </si>
  <si>
    <t>20.7.</t>
  </si>
  <si>
    <t>21.7.</t>
  </si>
  <si>
    <t>Čtvrtek</t>
  </si>
  <si>
    <t>23.7.</t>
  </si>
  <si>
    <t>24.7.</t>
  </si>
  <si>
    <t>Závod WRC</t>
  </si>
  <si>
    <t>25.7.</t>
  </si>
  <si>
    <t>26.7.</t>
  </si>
  <si>
    <t>Kata Tjuta</t>
  </si>
  <si>
    <t>Model Course</t>
  </si>
  <si>
    <t>IRF Meeting</t>
  </si>
  <si>
    <t>9:00 - 17:00</t>
  </si>
  <si>
    <t>AUD</t>
  </si>
  <si>
    <t>CZK</t>
  </si>
  <si>
    <t>Pebbly Beach</t>
  </si>
  <si>
    <t>Fitzroy Falls</t>
  </si>
  <si>
    <t>2:10 hod.</t>
  </si>
  <si>
    <t>Blue Mountains</t>
  </si>
  <si>
    <t>Vehicle fee</t>
  </si>
  <si>
    <t>4:30 hod.</t>
  </si>
  <si>
    <t>4:54 hod.</t>
  </si>
  <si>
    <t>Belougery-Split Rock</t>
  </si>
  <si>
    <t>Camp Blackman</t>
  </si>
  <si>
    <t>Ogma Gap Camp</t>
  </si>
  <si>
    <t>Wambelong Track</t>
  </si>
  <si>
    <t>1 hod.</t>
  </si>
  <si>
    <t>Gundabooka NP</t>
  </si>
  <si>
    <t>Bennetts Gorge picnic area</t>
  </si>
  <si>
    <t>Little Mountain Track</t>
  </si>
  <si>
    <t>2x 3 hod.</t>
  </si>
  <si>
    <t>Ayersrockresort Campground</t>
  </si>
  <si>
    <t>Grand Canyon track</t>
  </si>
  <si>
    <t>3:30 hod.</t>
  </si>
  <si>
    <t>Singapore</t>
  </si>
  <si>
    <t>Katoomba Visit Centre</t>
  </si>
  <si>
    <t>Darwin</t>
  </si>
  <si>
    <t>Katherine Gorge</t>
  </si>
  <si>
    <t>Katherine Gorge NP</t>
  </si>
  <si>
    <t>Mataranka, Elsey NP</t>
  </si>
  <si>
    <t>Devils marbles</t>
  </si>
  <si>
    <t>Karlu Karlu Camp</t>
  </si>
  <si>
    <t>WRC Event Centre</t>
  </si>
  <si>
    <t>Alice Springs</t>
  </si>
  <si>
    <t>1:14 hod.</t>
  </si>
  <si>
    <t>Kemp Karlu Karlu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</si>
  <si>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</si>
  <si>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</si>
  <si>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</si>
  <si>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</si>
  <si>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</si>
  <si>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</si>
  <si>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</si>
  <si>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</si>
  <si>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</si>
  <si>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Cíl/nocleh</t>
  </si>
  <si>
    <t>Nákupy/výdaje</t>
  </si>
  <si>
    <t>Blue Mountains NP</t>
  </si>
  <si>
    <t>Kurz AUD:</t>
  </si>
  <si>
    <t>Cena letenek celkem:</t>
  </si>
  <si>
    <t>Odhad cestovních výdajů na osobu:</t>
  </si>
  <si>
    <t>Suma výdajů celkových:</t>
  </si>
  <si>
    <t>Celkové výdaje na osobu:</t>
  </si>
  <si>
    <t>1:48 hod.</t>
  </si>
  <si>
    <t>Warrumbungles</t>
  </si>
  <si>
    <t>Mataranka thermales</t>
  </si>
  <si>
    <t xml:space="preserve">Casuarina Beach </t>
  </si>
  <si>
    <t>Darwin Airport</t>
  </si>
  <si>
    <t>Timber 32242 reserve</t>
  </si>
  <si>
    <t>Bread knife/Top hills walk</t>
  </si>
  <si>
    <t>Vehicle fee Warrumbungles</t>
  </si>
  <si>
    <t>Obhlídka zlatých dolů</t>
  </si>
  <si>
    <t>IGA Cobar, Linsley St 34</t>
  </si>
  <si>
    <t>4:08 hod.</t>
  </si>
  <si>
    <t>Cobar</t>
  </si>
  <si>
    <t>27 min.</t>
  </si>
  <si>
    <t>2:19 hod.</t>
  </si>
  <si>
    <t>Cena letenky na osobu:</t>
  </si>
  <si>
    <t>14.7.</t>
  </si>
  <si>
    <t>13.7.</t>
  </si>
  <si>
    <t>Kodaň</t>
  </si>
  <si>
    <t>Letadlo do Singapore</t>
  </si>
  <si>
    <r>
      <rPr>
        <b/>
        <sz val="12"/>
        <color theme="1"/>
        <rFont val="Times New Roman"/>
        <family val="1"/>
        <charset val="238"/>
      </rPr>
      <t>7:10</t>
    </r>
    <r>
      <rPr>
        <sz val="12"/>
        <color theme="1"/>
        <rFont val="Times New Roman"/>
        <family val="1"/>
        <charset val="238"/>
      </rPr>
      <t xml:space="preserve"> - 8:30</t>
    </r>
  </si>
  <si>
    <r>
      <t xml:space="preserve">Odlet </t>
    </r>
    <r>
      <rPr>
        <b/>
        <sz val="12"/>
        <color theme="1"/>
        <rFont val="Times New Roman"/>
        <family val="1"/>
        <charset val="238"/>
      </rPr>
      <t>12:30</t>
    </r>
  </si>
  <si>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- 6:30</t>
    </r>
  </si>
  <si>
    <r>
      <rPr>
        <b/>
        <sz val="12"/>
        <color theme="1"/>
        <rFont val="Times New Roman"/>
        <family val="1"/>
        <charset val="238"/>
      </rPr>
      <t>8:30</t>
    </r>
    <r>
      <rPr>
        <sz val="12"/>
        <color theme="1"/>
        <rFont val="Times New Roman"/>
        <family val="1"/>
        <charset val="238"/>
      </rPr>
      <t xml:space="preserve"> - 14:45</t>
    </r>
  </si>
  <si>
    <t>15 min.</t>
  </si>
  <si>
    <t>Koupání v Indickém oceánu</t>
  </si>
  <si>
    <r>
      <t xml:space="preserve">Od </t>
    </r>
    <r>
      <rPr>
        <b/>
        <sz val="12"/>
        <color theme="1"/>
        <rFont val="Times New Roman"/>
        <family val="1"/>
        <charset val="238"/>
      </rPr>
      <t>16:00</t>
    </r>
  </si>
  <si>
    <t>Kempovné</t>
  </si>
  <si>
    <t>Kempovné overnight bush</t>
  </si>
  <si>
    <t>Katherine</t>
  </si>
  <si>
    <t>3:39 hod.</t>
  </si>
  <si>
    <t>Dotankování před vrácením</t>
  </si>
  <si>
    <t>Sydney Airport</t>
  </si>
  <si>
    <t>Přelet do Sydney</t>
  </si>
  <si>
    <t>Přelet do Singapore</t>
  </si>
  <si>
    <t>Frankfurt</t>
  </si>
  <si>
    <t>Entry fee Uluru-Kata Tjuta</t>
  </si>
  <si>
    <t>Centrum Sydney</t>
  </si>
  <si>
    <r>
      <rPr>
        <b/>
        <sz val="12"/>
        <color theme="1"/>
        <rFont val="Times New Roman"/>
        <family val="1"/>
        <charset val="238"/>
      </rPr>
      <t>13:00</t>
    </r>
    <r>
      <rPr>
        <sz val="12"/>
        <color theme="1"/>
        <rFont val="Times New Roman"/>
        <family val="1"/>
        <charset val="238"/>
      </rPr>
      <t>-19:20</t>
    </r>
  </si>
  <si>
    <t>Přelet Frankfurt - Praha</t>
  </si>
  <si>
    <t>Nákup jídla na 4 dny</t>
  </si>
  <si>
    <t>Okruh Valley of the winds</t>
  </si>
  <si>
    <t>7.4 km</t>
  </si>
  <si>
    <t>5 km</t>
  </si>
  <si>
    <t>12.5 km</t>
  </si>
  <si>
    <t>2 km</t>
  </si>
  <si>
    <t>2x 4.2 km</t>
  </si>
  <si>
    <t>4 hod.</t>
  </si>
  <si>
    <t>Talinguru Nyakunytjaku</t>
  </si>
  <si>
    <t>53 min.</t>
  </si>
  <si>
    <r>
      <t xml:space="preserve">Západ slunce </t>
    </r>
    <r>
      <rPr>
        <b/>
        <sz val="12"/>
        <color theme="1"/>
        <rFont val="Times New Roman"/>
        <family val="1"/>
        <charset val="238"/>
      </rPr>
      <t>19:37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>243°</t>
    </r>
  </si>
  <si>
    <r>
      <t xml:space="preserve">Východ slunce </t>
    </r>
    <r>
      <rPr>
        <b/>
        <sz val="12"/>
        <color theme="1"/>
        <rFont val="Times New Roman"/>
        <family val="1"/>
        <charset val="238"/>
      </rPr>
      <t>5:55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>116°</t>
    </r>
  </si>
  <si>
    <t>26 min.</t>
  </si>
  <si>
    <t>Uluru walking point</t>
  </si>
  <si>
    <t>Ayersrock Camp</t>
  </si>
  <si>
    <t>21 min.</t>
  </si>
  <si>
    <t>Uluru summit</t>
  </si>
  <si>
    <t>2x 1.6 km</t>
  </si>
  <si>
    <t>Uluru summit (348 m přev.)</t>
  </si>
  <si>
    <t>8.5 km</t>
  </si>
  <si>
    <t>Hertz Car Rental</t>
  </si>
  <si>
    <t>Dotankování Caltex</t>
  </si>
  <si>
    <t>Dry Tank Camp (6$/os.)</t>
  </si>
  <si>
    <t>Uluru Base Walk</t>
  </si>
  <si>
    <t>Ayers Rock Airport</t>
  </si>
  <si>
    <t>25 min.</t>
  </si>
  <si>
    <r>
      <t xml:space="preserve">Do </t>
    </r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vrácení auta</t>
    </r>
  </si>
  <si>
    <t>Dotankování Tennant Creek</t>
  </si>
  <si>
    <t>Dotankování Caltex ASP</t>
  </si>
  <si>
    <t>Zbývá [km]</t>
  </si>
  <si>
    <t>Volno v nádrži [l]</t>
  </si>
  <si>
    <t>Možno nabrat [l]</t>
  </si>
  <si>
    <t>V cíli třeba doplnit [l]</t>
  </si>
  <si>
    <t>Cena celk.</t>
  </si>
  <si>
    <t>Pumpa</t>
  </si>
  <si>
    <t>Mt. Eberner</t>
  </si>
  <si>
    <t>Curtin Springs</t>
  </si>
  <si>
    <t>Erldunda</t>
  </si>
  <si>
    <t>Ayers Rock</t>
  </si>
  <si>
    <t>[km]</t>
  </si>
  <si>
    <t>Cena benzinu [$/l]</t>
  </si>
  <si>
    <t>Tank2</t>
  </si>
  <si>
    <t>Tank1 [$]</t>
  </si>
  <si>
    <t>Dotankování Erldunda</t>
  </si>
  <si>
    <t>Uluru Fuel Analysis (nádrž 42 l, spotřeba 5.1 l/100 km)</t>
  </si>
  <si>
    <t>Dotankování Gulgong</t>
  </si>
  <si>
    <t>Gulgong</t>
  </si>
  <si>
    <t>Km</t>
  </si>
  <si>
    <t>Nyngan</t>
  </si>
  <si>
    <t>Dotankování Nyngan</t>
  </si>
  <si>
    <t>Dry Tank Camp</t>
  </si>
  <si>
    <t>Blayney</t>
  </si>
  <si>
    <t>Dotankování Blayney</t>
  </si>
  <si>
    <t>3:37 hod.</t>
  </si>
  <si>
    <t>4:01 hod.</t>
  </si>
  <si>
    <t>Odpočívadlo na Western HWY</t>
  </si>
  <si>
    <t>Odpočívadlo</t>
  </si>
  <si>
    <t>4:33 hod.</t>
  </si>
  <si>
    <t>Čas pohybu [hod.]</t>
  </si>
  <si>
    <t>Nocleh u Fitzroy falls</t>
  </si>
  <si>
    <t>Pláž Pebbly Beach (klokani)</t>
  </si>
  <si>
    <t>Benzinka</t>
  </si>
  <si>
    <t>Nákup na tři dny</t>
  </si>
  <si>
    <r>
      <t xml:space="preserve">Odbavení do </t>
    </r>
    <r>
      <rPr>
        <b/>
        <sz val="12"/>
        <color theme="1"/>
        <rFont val="Times New Roman"/>
        <family val="1"/>
        <charset val="238"/>
      </rPr>
      <t>6:00</t>
    </r>
  </si>
  <si>
    <t>Praha Ruzyně</t>
  </si>
  <si>
    <t>Erdlunda</t>
  </si>
  <si>
    <t>Úspora při nákupu 20 l do kanystru:</t>
  </si>
  <si>
    <t>Souhrnná cena kanystr + Erldunda:</t>
  </si>
  <si>
    <t>Cena</t>
  </si>
  <si>
    <t>Cena tankování [$]</t>
  </si>
  <si>
    <t>Sydney</t>
  </si>
  <si>
    <t>Abercrombie caves</t>
  </si>
  <si>
    <t>2:27 hod.</t>
  </si>
  <si>
    <t>6 km</t>
  </si>
  <si>
    <r>
      <rPr>
        <b/>
        <sz val="12"/>
        <color theme="1"/>
        <rFont val="Times New Roman"/>
        <family val="1"/>
        <charset val="238"/>
      </rPr>
      <t>23:05</t>
    </r>
    <r>
      <rPr>
        <sz val="12"/>
        <color theme="1"/>
        <rFont val="Times New Roman"/>
        <family val="1"/>
        <charset val="238"/>
      </rPr>
      <t>-5:45</t>
    </r>
  </si>
  <si>
    <r>
      <rPr>
        <b/>
        <sz val="12"/>
        <color theme="1"/>
        <rFont val="Times New Roman"/>
        <family val="1"/>
        <charset val="238"/>
      </rPr>
      <t>8:55</t>
    </r>
    <r>
      <rPr>
        <sz val="12"/>
        <color theme="1"/>
        <rFont val="Times New Roman"/>
        <family val="1"/>
        <charset val="238"/>
      </rPr>
      <t>-9:55</t>
    </r>
  </si>
  <si>
    <t>7:00 - 22:00</t>
  </si>
  <si>
    <t>Shuttle do centra Sydney</t>
  </si>
  <si>
    <t>Procházka po centru</t>
  </si>
  <si>
    <t>Start 12:00</t>
  </si>
  <si>
    <r>
      <rPr>
        <b/>
        <sz val="12"/>
        <color theme="1"/>
        <rFont val="Times New Roman"/>
        <family val="1"/>
        <charset val="238"/>
      </rPr>
      <t>13:50</t>
    </r>
    <r>
      <rPr>
        <sz val="12"/>
        <color theme="1"/>
        <rFont val="Times New Roman"/>
        <family val="1"/>
        <charset val="238"/>
      </rPr>
      <t>-17:20</t>
    </r>
  </si>
  <si>
    <t>Bayswater Car Rental</t>
  </si>
  <si>
    <t>7:00-18:30</t>
  </si>
  <si>
    <t>Dotankování</t>
  </si>
  <si>
    <t>Odhad celkových výdajů v Austrálii (3 lidi):</t>
  </si>
  <si>
    <t>12:00-18:00</t>
  </si>
  <si>
    <t>13:00-16:00</t>
  </si>
  <si>
    <t>Shuttle bus or taxi do centra</t>
  </si>
  <si>
    <t>Sydney City Hostel</t>
  </si>
  <si>
    <t>Nocleh v hostelu</t>
  </si>
  <si>
    <t>Caltex, Cleveland St. 550</t>
  </si>
  <si>
    <t>Do 17:00 car back</t>
  </si>
  <si>
    <t>Mýtné M1 motorway</t>
  </si>
  <si>
    <t>Od 10:00</t>
  </si>
  <si>
    <t>1:45 hod.</t>
  </si>
  <si>
    <t>2:20 hod.</t>
  </si>
  <si>
    <t>Shuttle na letiště</t>
  </si>
  <si>
    <t>Auto 27. 7.-2. 8. (7:00-18:30)</t>
  </si>
  <si>
    <t>Pěšky do půjčovny</t>
  </si>
  <si>
    <t>Auto dojezd 820 km</t>
  </si>
  <si>
    <t>Auto dojezd 740 km</t>
  </si>
  <si>
    <t>Bělohorská 1020/64</t>
  </si>
  <si>
    <r>
      <rPr>
        <b/>
        <sz val="12"/>
        <color theme="1"/>
        <rFont val="Times New Roman"/>
        <family val="1"/>
        <charset val="238"/>
      </rPr>
      <t>Drinopol T25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4:42 &gt;&gt;&gt; Vypich 4:46 ~ B510 4:54 &gt;&gt;&gt; 5:18 Terminál 2</t>
    </r>
  </si>
  <si>
    <t>13:37 CHZ &gt;&gt;&gt; 13:55 Home</t>
  </si>
  <si>
    <t>Sunset 18:36</t>
  </si>
  <si>
    <t>Wetlands Rest Area</t>
  </si>
  <si>
    <t>6 min.</t>
  </si>
  <si>
    <t>Jumping Crocodile Cruise</t>
  </si>
  <si>
    <t>9:00-10:00 plavba za krokouši</t>
  </si>
  <si>
    <t>Litchfield National Park</t>
  </si>
  <si>
    <t>Wangi Falls</t>
  </si>
  <si>
    <t>2:08 hod.</t>
  </si>
  <si>
    <t>Greenant Creek</t>
  </si>
  <si>
    <t>10 min.</t>
  </si>
  <si>
    <r>
      <t xml:space="preserve">Pěšky k </t>
    </r>
    <r>
      <rPr>
        <b/>
        <sz val="12"/>
        <color theme="1"/>
        <rFont val="Times New Roman"/>
        <family val="1"/>
        <charset val="238"/>
      </rPr>
      <t>Tjaetaba Falls</t>
    </r>
    <r>
      <rPr>
        <sz val="12"/>
        <color theme="1"/>
        <rFont val="Times New Roman"/>
        <family val="1"/>
        <charset val="238"/>
      </rPr>
      <t xml:space="preserve"> (3 km return, cca 2 hod.)</t>
    </r>
  </si>
  <si>
    <r>
      <t xml:space="preserve">Pěšky k </t>
    </r>
    <r>
      <rPr>
        <b/>
        <sz val="12"/>
        <color theme="1"/>
        <rFont val="Times New Roman"/>
        <family val="1"/>
        <charset val="238"/>
      </rPr>
      <t>Tolmer Falls</t>
    </r>
    <r>
      <rPr>
        <sz val="12"/>
        <color theme="1"/>
        <rFont val="Times New Roman"/>
        <family val="1"/>
        <charset val="238"/>
      </rPr>
      <t xml:space="preserve"> (1.6 km return, cca 40 min.)</t>
    </r>
  </si>
  <si>
    <t>Tolmer Falls</t>
  </si>
  <si>
    <t>4 min.</t>
  </si>
  <si>
    <t>20 min.</t>
  </si>
  <si>
    <t xml:space="preserve">Buley Campground </t>
  </si>
  <si>
    <t>Tolmer Falls (do října asi nepřístupné)</t>
  </si>
  <si>
    <t>Florence Falls</t>
  </si>
  <si>
    <t xml:space="preserve">Buley Rockholes </t>
  </si>
  <si>
    <t>30 min.</t>
  </si>
  <si>
    <t>Magnetická termitiště</t>
  </si>
  <si>
    <t>Pěšky</t>
  </si>
  <si>
    <t>Přejezd</t>
  </si>
  <si>
    <t>3:20 hod.</t>
  </si>
  <si>
    <t>Výlet Southern Rockhole</t>
  </si>
  <si>
    <t>Návrat od S. Rockhole</t>
  </si>
  <si>
    <t>Newcastle Waters</t>
  </si>
  <si>
    <t>Alice Springs Caltex</t>
  </si>
  <si>
    <t>Desert Oaks Rest Area</t>
  </si>
  <si>
    <t>2:00 hod.</t>
  </si>
  <si>
    <t>Nákup na 2 dny, dotankování</t>
  </si>
  <si>
    <t>Vzdál. [km]</t>
  </si>
  <si>
    <r>
      <rPr>
        <b/>
        <sz val="12"/>
        <color theme="1"/>
        <rFont val="Times New Roman"/>
        <family val="1"/>
        <charset val="238"/>
      </rPr>
      <t>8:00</t>
    </r>
    <r>
      <rPr>
        <sz val="12"/>
        <color theme="1"/>
        <rFont val="Times New Roman"/>
        <family val="1"/>
        <charset val="238"/>
      </rPr>
      <t xml:space="preserve"> odj. Desert Oaks</t>
    </r>
  </si>
  <si>
    <t>4:10 hod.</t>
  </si>
  <si>
    <t>5.4 km</t>
  </si>
  <si>
    <t>3 km</t>
  </si>
  <si>
    <t>2.2 km</t>
  </si>
  <si>
    <t>2.8 km</t>
  </si>
  <si>
    <t>9.6 km</t>
  </si>
  <si>
    <t>8 km</t>
  </si>
  <si>
    <t>Předběžný itinerář Austrálie 2016, úsek Karlu Karlu - WRC 2016 - Uluru - Sydney</t>
  </si>
  <si>
    <t>Předběžný itinerář Austrálie 2016, úsek Praha - Darwin - Karlu Karlu</t>
  </si>
  <si>
    <t>2 hod.</t>
  </si>
  <si>
    <t>Procházka po Devils marbles</t>
  </si>
  <si>
    <t>Předběžný itinerář Austrálie 2016, úsek Sydney - Blue mountains - Warrumbungles - Gundabooka - Pebbly beach - Sydney</t>
  </si>
  <si>
    <t>Na parkovišti</t>
  </si>
  <si>
    <t>Pěšky k autu (já výklus)</t>
  </si>
  <si>
    <t>2 (1)</t>
  </si>
  <si>
    <t>3 (2)</t>
  </si>
  <si>
    <t>4 (3)</t>
  </si>
  <si>
    <t>5 (1)</t>
  </si>
  <si>
    <t>Woolworths Nightcliff</t>
  </si>
  <si>
    <t>Nákup na 3 dny</t>
  </si>
  <si>
    <t>BCF</t>
  </si>
  <si>
    <t>5 min.</t>
  </si>
  <si>
    <t>47 min.</t>
  </si>
  <si>
    <r>
      <t>Vodopád Korowan</t>
    </r>
    <r>
      <rPr>
        <sz val="12"/>
        <color theme="1"/>
        <rFont val="Times New Roman"/>
        <family val="1"/>
        <charset val="238"/>
      </rPr>
      <t xml:space="preserve"> a zpět</t>
    </r>
  </si>
  <si>
    <t>Výklus/trek Mataranka Falls</t>
  </si>
  <si>
    <t>Přejezd, cestou nákup na 1 den</t>
  </si>
  <si>
    <t>Jalmurark Campground</t>
  </si>
  <si>
    <t>Vyprání a nocleh v hostelu</t>
  </si>
  <si>
    <t>6 (1)</t>
  </si>
  <si>
    <t>7 (2)</t>
  </si>
  <si>
    <t>8 (3)</t>
  </si>
  <si>
    <t>Nákup na zbytek týdne (maso)</t>
  </si>
  <si>
    <t>9 (1)</t>
  </si>
  <si>
    <t>10 (2)</t>
  </si>
  <si>
    <t>Free shuttle</t>
  </si>
  <si>
    <t>11 (3)</t>
  </si>
  <si>
    <t>12 (1)</t>
  </si>
  <si>
    <t>13 (2)</t>
  </si>
  <si>
    <t>14 (1)</t>
  </si>
  <si>
    <t>15 (2)</t>
  </si>
  <si>
    <t>16 (3)</t>
  </si>
  <si>
    <t>Nákup kartuše a jídla na 3 dny</t>
  </si>
  <si>
    <t>17 (1)</t>
  </si>
  <si>
    <t>18 (2)</t>
  </si>
  <si>
    <t>19 (3)</t>
  </si>
  <si>
    <t>20 (4)</t>
  </si>
  <si>
    <t>Auto na 12 dní (15. - 26. 7.)</t>
  </si>
  <si>
    <t>Nákup 450 g kartuše Primus 7/16"</t>
  </si>
  <si>
    <t>16/9°C</t>
  </si>
  <si>
    <t>11/-3°C</t>
  </si>
  <si>
    <t>12/0°C</t>
  </si>
  <si>
    <t>13/3°C</t>
  </si>
  <si>
    <t>10/-3°C</t>
  </si>
  <si>
    <t>16/7°C</t>
  </si>
  <si>
    <t>4.6 km</t>
  </si>
  <si>
    <t>2:30 hod.</t>
  </si>
  <si>
    <t>16/5°C</t>
  </si>
  <si>
    <t>Devils Pebbles</t>
  </si>
  <si>
    <t>Ayersrock Campsite</t>
  </si>
  <si>
    <t>Kunjarra</t>
  </si>
  <si>
    <t>Tennant Creek</t>
  </si>
  <si>
    <t>Nocleh Newcastle Waters</t>
  </si>
  <si>
    <t>3:16 hod.</t>
  </si>
  <si>
    <t>1 km trek po Devils Pebbles</t>
  </si>
  <si>
    <t>19 min.</t>
  </si>
  <si>
    <t>1:33 hod.</t>
  </si>
  <si>
    <t>Free shuttle/dorazí Sádlovi</t>
  </si>
  <si>
    <t>Date/ km</t>
  </si>
  <si>
    <t>29/19°C</t>
  </si>
  <si>
    <t>30/16°C</t>
  </si>
  <si>
    <t>29/12°C</t>
  </si>
  <si>
    <t>31/12°C</t>
  </si>
  <si>
    <t>26/7°C</t>
  </si>
  <si>
    <t>Deštík</t>
  </si>
  <si>
    <t>Pjasno</t>
  </si>
  <si>
    <t>19/4°C</t>
  </si>
  <si>
    <t>18/4°C, vítr, v noci déšť</t>
  </si>
  <si>
    <t>18/2°C</t>
  </si>
  <si>
    <t>Déšť</t>
  </si>
  <si>
    <t>Vítr</t>
  </si>
  <si>
    <t>14/3°C</t>
  </si>
  <si>
    <t>16/4°C</t>
  </si>
  <si>
    <t>15:54 TS &gt;&gt;&gt; 16:23 1. N. ~ 16:30 Regiojet &gt;&gt;&gt; 17:55 Hradčanská</t>
  </si>
  <si>
    <t>Alice INN, 25 Undoolya Road</t>
  </si>
  <si>
    <t>Nightcliff Beach</t>
  </si>
  <si>
    <t>Yarrawonga</t>
  </si>
  <si>
    <t>Zavřeno</t>
  </si>
  <si>
    <t>15:54 Tram &gt;&gt;&gt; 16:23 Most ~ 16:30 Regiojet &gt;&gt;&gt; 17:55 Hradčanská</t>
  </si>
  <si>
    <t>km</t>
  </si>
  <si>
    <t>Jumping Crocodiles</t>
  </si>
  <si>
    <t>Skutečné výdaje v Austrálii (3 lidi):</t>
  </si>
  <si>
    <t>Cestovní výdaje na osobu:</t>
  </si>
  <si>
    <t>Nitmiluk Campsite</t>
  </si>
  <si>
    <t>Kempovné Nitmiluk Campsite</t>
  </si>
  <si>
    <t>Pěší procházka (já výklus)</t>
  </si>
  <si>
    <t>Southern Rockhole a zpět</t>
  </si>
  <si>
    <t>Bezplatný overnight parking</t>
  </si>
  <si>
    <t>Daly Waters</t>
  </si>
  <si>
    <t>Hertz Car Rental - auto 12 dní</t>
  </si>
  <si>
    <t>Devils Marbles</t>
  </si>
  <si>
    <t>Kempovné Karlu Karlu</t>
  </si>
  <si>
    <t>Nákup na zbytek týdne</t>
  </si>
  <si>
    <t>Nákup na 2 dny</t>
  </si>
  <si>
    <t>Alice Springs Woolworths</t>
  </si>
  <si>
    <t>Erlunda</t>
  </si>
  <si>
    <t>Parkoviště Lasseter Hway</t>
  </si>
  <si>
    <t>Lasseter Highway</t>
  </si>
  <si>
    <t>Objetí Uluru autem</t>
  </si>
  <si>
    <t>Na parkovišti u Lasseter Highway</t>
  </si>
  <si>
    <t>Shell Yulara</t>
  </si>
  <si>
    <r>
      <t xml:space="preserve">Do </t>
    </r>
    <r>
      <rPr>
        <b/>
        <sz val="12"/>
        <color theme="1"/>
        <rFont val="Times New Roman"/>
        <family val="1"/>
        <charset val="238"/>
      </rPr>
      <t>12:30</t>
    </r>
    <r>
      <rPr>
        <sz val="12"/>
        <color theme="1"/>
        <rFont val="Times New Roman"/>
        <family val="1"/>
        <charset val="238"/>
      </rPr>
      <t xml:space="preserve"> vrácení auta Hertz Car Rental</t>
    </r>
  </si>
  <si>
    <t>Shuttle bus Bayswater</t>
  </si>
  <si>
    <t>Nocležné v náhradním hostelu</t>
  </si>
  <si>
    <t>790 on George Backpackers</t>
  </si>
  <si>
    <t>Woolworths</t>
  </si>
  <si>
    <t>Parkovné 1 hodina</t>
  </si>
  <si>
    <t>Nákup jídla na 3 dny</t>
  </si>
  <si>
    <t>Nákup kartuše do vařiče</t>
  </si>
  <si>
    <t>Katoomba</t>
  </si>
  <si>
    <t>The Bowen Inn Motel</t>
  </si>
  <si>
    <t>Nocležné v motelu</t>
  </si>
  <si>
    <t>The Bowen Inn Lithgow</t>
  </si>
  <si>
    <t>Snídaně Kodaň</t>
  </si>
  <si>
    <t>Benzin United Noonamah</t>
  </si>
  <si>
    <t>Benzin BP Tennant Creek</t>
  </si>
  <si>
    <t>Benzin United Katherine</t>
  </si>
  <si>
    <t>Benzin Caltex Ti Tree</t>
  </si>
  <si>
    <t>Dotankování BP Gulgong</t>
  </si>
  <si>
    <t>Nákup IGA Warren</t>
  </si>
  <si>
    <t>IGA Warren</t>
  </si>
  <si>
    <t>Benzin Gilgandra</t>
  </si>
  <si>
    <t>Pošta Goulburn</t>
  </si>
  <si>
    <t>Benzin Wandandian</t>
  </si>
  <si>
    <t>Dotankování nádrže</t>
  </si>
  <si>
    <t>Kempovné Camp Blackman</t>
  </si>
  <si>
    <t>Abercrombie Caves</t>
  </si>
  <si>
    <t>Odpočívadlo u Blayney</t>
  </si>
  <si>
    <t>Benzinka Blayney</t>
  </si>
  <si>
    <t>Výstup Belougery-Split Rock</t>
  </si>
  <si>
    <t xml:space="preserve">Split Rock Parking </t>
  </si>
  <si>
    <t>Pincham Camp Parking</t>
  </si>
  <si>
    <t>Benzinka Nyngan</t>
  </si>
  <si>
    <t>Benzinka Gilgandra</t>
  </si>
  <si>
    <t>Odpočívadlo Kidman Way</t>
  </si>
  <si>
    <t>Parking Kidman Way</t>
  </si>
  <si>
    <t>Předběžný itinerář Austrálie 2016, úsek Sydney - Blue Mountains - Warrumbungles - Gundabooka</t>
  </si>
  <si>
    <t>Předběžný itinerář Austrálie 2016, úsek Gundabooka - Abercrombie Caves - Pebbly Beach - Sydney</t>
  </si>
  <si>
    <t>RAYS Yarrawonga</t>
  </si>
  <si>
    <t>6 km plavba za krokouši (54 min.)</t>
  </si>
  <si>
    <t>Dotankování BP Nyngan</t>
  </si>
  <si>
    <t>Noc zdarma na odpočívadle na Western HWY</t>
  </si>
  <si>
    <t>Beruší antibiotika</t>
  </si>
  <si>
    <t>Spotřeba vozu 7.5 l/100 km</t>
  </si>
  <si>
    <t>Nocležné v hostelu propadlo</t>
  </si>
  <si>
    <t>BP Gulgong</t>
  </si>
  <si>
    <t>1:04 hod.</t>
  </si>
  <si>
    <t>9 min.</t>
  </si>
  <si>
    <t>2:33 hod.</t>
  </si>
  <si>
    <t>11.9 km</t>
  </si>
  <si>
    <t>13 min.</t>
  </si>
  <si>
    <t>2.5 km procházka (42 min.) a koupání Wangi Falls</t>
  </si>
  <si>
    <t>1 km procházka po uzavřené stezce (15 min.)</t>
  </si>
  <si>
    <t>1:25 hod.</t>
  </si>
  <si>
    <t>Předběžný itinerář Austrálie 2016, úsek Newcastle Waters - Karlu Karlu - WRC 2016 - Uluru - Sydney</t>
  </si>
  <si>
    <t>Kempovné Jalmurark Campsite</t>
  </si>
  <si>
    <t>Koupání v termálu</t>
  </si>
  <si>
    <r>
      <t>Wangi Falls</t>
    </r>
    <r>
      <rPr>
        <sz val="12"/>
        <color theme="10"/>
        <rFont val="Times New Roman"/>
        <family val="1"/>
        <charset val="238"/>
      </rPr>
      <t xml:space="preserve"> (se zajížďkou)</t>
    </r>
  </si>
  <si>
    <t xml:space="preserve">Buley Rockhole </t>
  </si>
  <si>
    <t>Pine Creek</t>
  </si>
  <si>
    <t>Nákup Pine Creek</t>
  </si>
  <si>
    <t>2:50 hod.</t>
  </si>
  <si>
    <t>51 min.</t>
  </si>
  <si>
    <t>38 min.</t>
  </si>
  <si>
    <t>11 km</t>
  </si>
  <si>
    <t>3 hod.</t>
  </si>
  <si>
    <t>31 min.</t>
  </si>
  <si>
    <t>1:35 hod.</t>
  </si>
  <si>
    <t>Procházka po magnetických termitištích (500 m/12 min.)</t>
  </si>
  <si>
    <t>1:41 hod.</t>
  </si>
  <si>
    <t>24 min.</t>
  </si>
  <si>
    <t>Bitter Springs Thermales</t>
  </si>
  <si>
    <t>Parkoviště</t>
  </si>
  <si>
    <t>Termál a zpět</t>
  </si>
  <si>
    <t>800 m</t>
  </si>
  <si>
    <t>16 min.</t>
  </si>
  <si>
    <t>Nákup Daly Waters</t>
  </si>
  <si>
    <t>2:25 hod.</t>
  </si>
  <si>
    <t>900 m obhlídka Devils Pebbles (14 min.)</t>
  </si>
  <si>
    <t>Nákup Tennant Creek</t>
  </si>
  <si>
    <t>Devils Pebbles (Kunjarra)</t>
  </si>
  <si>
    <t>58 min.</t>
  </si>
  <si>
    <t>1.2 km po Devils Marbles (23 min.)</t>
  </si>
  <si>
    <t>3:50 hod.</t>
  </si>
  <si>
    <t>Woolworths Alice Springs</t>
  </si>
  <si>
    <t>4.9 km/59 min.</t>
  </si>
  <si>
    <t>1:28 hod.</t>
  </si>
  <si>
    <t>Nocleh zdarma na parkovišti</t>
  </si>
  <si>
    <t>Mount Conner Lookout</t>
  </si>
  <si>
    <t>1:21 hod.</t>
  </si>
  <si>
    <t>Kata Tjuta Viewing Area</t>
  </si>
  <si>
    <t>1:30 hod.</t>
  </si>
  <si>
    <t>Procházka Mt. Conner Lookout (240 m/5 min.)</t>
  </si>
  <si>
    <t>Procházka Kata Tjuta Viewing Area (780 m/28 min.)</t>
  </si>
  <si>
    <t>Kata Tjuta Lookout</t>
  </si>
  <si>
    <t>7.9 km</t>
  </si>
  <si>
    <t>2:38 hod.</t>
  </si>
  <si>
    <t>45 min.</t>
  </si>
  <si>
    <t>Pozorování západu slunce (660 m/28 min.)</t>
  </si>
  <si>
    <t>46 min.</t>
  </si>
  <si>
    <t>39 min.</t>
  </si>
  <si>
    <t>Uluru Walking Point</t>
  </si>
  <si>
    <t>2x 1.7 km</t>
  </si>
  <si>
    <t>11 min.</t>
  </si>
  <si>
    <t>12 km</t>
  </si>
  <si>
    <t>Pěšky Tři sestry, vodopád Katoomba (6.9 km/ 2 hod.)</t>
  </si>
  <si>
    <t>2:02 hod.</t>
  </si>
  <si>
    <t>4.7 km</t>
  </si>
  <si>
    <t>2:15 hod.</t>
  </si>
  <si>
    <t>Coonabarabran</t>
  </si>
  <si>
    <t>1:51 hod.</t>
  </si>
  <si>
    <t>Přestávka na oběd</t>
  </si>
  <si>
    <t>14 min. (tma)</t>
  </si>
  <si>
    <t>1:04 hod. (tma)</t>
  </si>
  <si>
    <t>Date</t>
  </si>
  <si>
    <t>Den/km</t>
  </si>
  <si>
    <t>Útrata zbylé hotovosti (dárky)</t>
  </si>
  <si>
    <t>Nákupy Sydney</t>
  </si>
  <si>
    <t>17.6 km</t>
  </si>
  <si>
    <t>4.3 km</t>
  </si>
  <si>
    <t>Snídaně, sprcha, ranní hygiena</t>
  </si>
  <si>
    <t>8 min.</t>
  </si>
  <si>
    <t>2:09 hod.</t>
  </si>
  <si>
    <t>Nocleh zdarma u parkoviětě za Curraweena</t>
  </si>
  <si>
    <t>1:01 hod.</t>
  </si>
  <si>
    <t>Warrumbungles Lookout</t>
  </si>
  <si>
    <t>Warrumbungles View</t>
  </si>
  <si>
    <t>44 min.</t>
  </si>
  <si>
    <t>Mulga Creek Hotel</t>
  </si>
  <si>
    <t>Obědová pauza</t>
  </si>
  <si>
    <t>Ben Lomond Rest Area</t>
  </si>
  <si>
    <t>43 min.</t>
  </si>
  <si>
    <t>Procházka za klokany</t>
  </si>
  <si>
    <t>1:10 hod.</t>
  </si>
  <si>
    <t>Vstupné do jeskyně a pohledy</t>
  </si>
  <si>
    <t>Archway Cave Self-guided Tour</t>
  </si>
  <si>
    <t>1:08 hod.</t>
  </si>
  <si>
    <t>Archway - největší přírodní oblouk na jižní polokouli</t>
  </si>
  <si>
    <t>1:59 hod.</t>
  </si>
  <si>
    <t>3:04 hod.</t>
  </si>
  <si>
    <t>Focení klokanů na pláži (950 m/16 min.)</t>
  </si>
  <si>
    <t>Benzinka Wandandian</t>
  </si>
  <si>
    <t>1:09 hod.</t>
  </si>
  <si>
    <t>1:20 hod.</t>
  </si>
  <si>
    <t>Ve tmě a dešti neúspěšně hledáme nocleh</t>
  </si>
  <si>
    <t>Bong Bong Parking</t>
  </si>
  <si>
    <r>
      <rPr>
        <sz val="12"/>
        <color theme="10"/>
        <rFont val="Times New Roman"/>
        <family val="1"/>
        <charset val="238"/>
      </rPr>
      <t xml:space="preserve">Nocleh zdarma u </t>
    </r>
    <r>
      <rPr>
        <b/>
        <sz val="12"/>
        <color theme="10"/>
        <rFont val="Times New Roman"/>
        <family val="1"/>
        <charset val="238"/>
      </rPr>
      <t>památníku Bong Bong</t>
    </r>
    <r>
      <rPr>
        <sz val="12"/>
        <color theme="10"/>
        <rFont val="Times New Roman"/>
        <family val="1"/>
        <charset val="238"/>
      </rPr>
      <t xml:space="preserve"> (u Moss Vale)</t>
    </r>
  </si>
  <si>
    <t>32 min.</t>
  </si>
  <si>
    <t>Nocležné v hostelu</t>
  </si>
  <si>
    <t>Zubní klinika a zpět</t>
  </si>
  <si>
    <t>25 minut + 2 hod. čekání</t>
  </si>
  <si>
    <t>Sydney Opera a zpět</t>
  </si>
  <si>
    <t>1:49 hod.</t>
  </si>
  <si>
    <t>Večerní slejvák</t>
  </si>
  <si>
    <t>Kč</t>
  </si>
  <si>
    <t>Benzin:</t>
  </si>
  <si>
    <t>Ujeto:</t>
  </si>
  <si>
    <t>4:30 hod. (dojezd tmou přes hory)</t>
  </si>
  <si>
    <t>Bread knife/Top Hills Walk; odbočky Gould´s Circuit (Fecha/Macha Tor), Spirey Lookout a Bluff Mountain</t>
  </si>
  <si>
    <t>S pauzami celk. 7 hod.; 5:20 hod. chůze</t>
  </si>
  <si>
    <t>1:35 hod. (tma + práce na silnici)</t>
  </si>
  <si>
    <r>
      <rPr>
        <b/>
        <sz val="12"/>
        <color theme="1"/>
        <rFont val="Times New Roman"/>
        <family val="1"/>
        <charset val="238"/>
      </rPr>
      <t>8:00</t>
    </r>
    <r>
      <rPr>
        <sz val="12"/>
        <color theme="1"/>
        <rFont val="Times New Roman"/>
        <family val="1"/>
        <charset val="238"/>
      </rPr>
      <t xml:space="preserve"> odj. z Desert Oaks</t>
    </r>
  </si>
  <si>
    <t>Návštěva Křižíka a kol. v Alice Springs INN/ bloudění na výjezdu z ASP</t>
  </si>
  <si>
    <t>Woolworths; Parramatta Road 92, Lidcombe</t>
  </si>
  <si>
    <t>41 min. jízda, 2:35 hod. celkem</t>
  </si>
  <si>
    <t>BCF; Roh Parramatta &amp; Rawson Str., Auburn</t>
  </si>
  <si>
    <t>Florence Falls Campsite</t>
  </si>
  <si>
    <t>Koupání ve Florence Falls</t>
  </si>
  <si>
    <t>Koupání v Buley Rockholes</t>
  </si>
  <si>
    <t>Sunrise lookout</t>
  </si>
  <si>
    <t>Kata Tjuta Sunrise lookout</t>
  </si>
  <si>
    <t>Realizovaný itinerář Austrálie 2016, úsek Praha - Darwin - Litchfield NP - Mataranka - Newcastle Waters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</si>
</sst>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Kč&quot;;[Red]\-#,##0.00\ &quot;Kč&quot;"/>
    <numFmt numFmtId="164" formatCode="[$$-C09]#,##0"/>
    <numFmt numFmtId="165" formatCode="#,##0\ &quot;Kč&quot;"/>
    <numFmt numFmtId="166" formatCode="[$$-C09]#,##0.0"/>
    <numFmt numFmtId="167" formatCode="#,##0.0\ &quot;Kč&quot;;[Red]\-#,##0.0\ &quot;Kč&quot;"/>
    <numFmt numFmtId="168" formatCode="0.0"/>
    <numFmt numFmtId="169" formatCode="[$$-C09]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b/>
      <sz val="12"/>
      <color theme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7" xfId="0" applyFont="1" applyBorder="1"/>
    <xf numFmtId="0" fontId="4" fillId="0" borderId="0" xfId="1" applyFont="1" applyBorder="1"/>
    <xf numFmtId="164" fontId="1" fillId="2" borderId="22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5" fillId="0" borderId="22" xfId="1" applyFont="1" applyBorder="1"/>
    <xf numFmtId="0" fontId="2" fillId="0" borderId="31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167" fontId="1" fillId="0" borderId="0" xfId="0" applyNumberFormat="1" applyFont="1" applyBorder="1" applyAlignment="1">
      <alignment vertical="center"/>
    </xf>
    <xf numFmtId="165" fontId="1" fillId="2" borderId="33" xfId="0" applyNumberFormat="1" applyFont="1" applyFill="1" applyBorder="1" applyAlignment="1">
      <alignment horizontal="center"/>
    </xf>
    <xf numFmtId="0" fontId="1" fillId="2" borderId="32" xfId="0" applyFont="1" applyFill="1" applyBorder="1"/>
    <xf numFmtId="0" fontId="2" fillId="2" borderId="34" xfId="0" applyFont="1" applyFill="1" applyBorder="1"/>
    <xf numFmtId="164" fontId="1" fillId="2" borderId="35" xfId="0" applyNumberFormat="1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7" xfId="0" applyFont="1" applyFill="1" applyBorder="1" applyAlignment="1">
      <alignment horizontal="right"/>
    </xf>
    <xf numFmtId="164" fontId="2" fillId="2" borderId="38" xfId="0" applyNumberFormat="1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0" fontId="2" fillId="2" borderId="40" xfId="0" applyFont="1" applyFill="1" applyBorder="1"/>
    <xf numFmtId="0" fontId="2" fillId="2" borderId="41" xfId="0" applyFont="1" applyFill="1" applyBorder="1"/>
    <xf numFmtId="164" fontId="2" fillId="2" borderId="42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/>
    </xf>
    <xf numFmtId="0" fontId="5" fillId="0" borderId="31" xfId="1" applyFont="1" applyBorder="1"/>
    <xf numFmtId="164" fontId="1" fillId="0" borderId="29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" fillId="2" borderId="40" xfId="0" applyFont="1" applyFill="1" applyBorder="1"/>
    <xf numFmtId="0" fontId="1" fillId="2" borderId="41" xfId="0" applyFont="1" applyFill="1" applyBorder="1"/>
    <xf numFmtId="164" fontId="1" fillId="2" borderId="42" xfId="0" applyNumberFormat="1" applyFont="1" applyFill="1" applyBorder="1" applyAlignment="1">
      <alignment horizontal="center"/>
    </xf>
    <xf numFmtId="165" fontId="1" fillId="2" borderId="4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16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168" fontId="2" fillId="0" borderId="44" xfId="0" applyNumberFormat="1" applyFont="1" applyBorder="1" applyAlignment="1">
      <alignment horizontal="center"/>
    </xf>
    <xf numFmtId="169" fontId="2" fillId="0" borderId="44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168" fontId="2" fillId="0" borderId="29" xfId="0" applyNumberFormat="1" applyFont="1" applyBorder="1" applyAlignment="1">
      <alignment horizontal="center"/>
    </xf>
    <xf numFmtId="169" fontId="2" fillId="0" borderId="29" xfId="0" applyNumberFormat="1" applyFont="1" applyBorder="1" applyAlignment="1">
      <alignment horizontal="center"/>
    </xf>
    <xf numFmtId="166" fontId="1" fillId="0" borderId="30" xfId="0" applyNumberFormat="1" applyFont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/>
    </xf>
    <xf numFmtId="168" fontId="2" fillId="0" borderId="48" xfId="0" applyNumberFormat="1" applyFont="1" applyBorder="1" applyAlignment="1">
      <alignment horizontal="center"/>
    </xf>
    <xf numFmtId="169" fontId="2" fillId="0" borderId="48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9" fontId="1" fillId="0" borderId="48" xfId="0" applyNumberFormat="1" applyFont="1" applyBorder="1" applyAlignment="1">
      <alignment horizontal="center"/>
    </xf>
    <xf numFmtId="166" fontId="2" fillId="0" borderId="48" xfId="0" applyNumberFormat="1" applyFont="1" applyBorder="1" applyAlignment="1">
      <alignment horizontal="center"/>
    </xf>
    <xf numFmtId="0" fontId="1" fillId="0" borderId="36" xfId="0" applyFont="1" applyBorder="1"/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8" fontId="2" fillId="0" borderId="22" xfId="0" applyNumberFormat="1" applyFont="1" applyBorder="1" applyAlignment="1">
      <alignment horizontal="center"/>
    </xf>
    <xf numFmtId="169" fontId="2" fillId="0" borderId="22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1" fillId="0" borderId="23" xfId="0" applyNumberFormat="1" applyFont="1" applyBorder="1" applyAlignment="1">
      <alignment horizontal="center"/>
    </xf>
    <xf numFmtId="0" fontId="1" fillId="0" borderId="15" xfId="0" applyFont="1" applyBorder="1"/>
    <xf numFmtId="0" fontId="2" fillId="0" borderId="56" xfId="0" applyFont="1" applyBorder="1" applyAlignment="1">
      <alignment horizontal="left"/>
    </xf>
    <xf numFmtId="0" fontId="1" fillId="0" borderId="54" xfId="0" applyFont="1" applyBorder="1" applyAlignment="1">
      <alignment horizontal="center"/>
    </xf>
    <xf numFmtId="168" fontId="2" fillId="0" borderId="53" xfId="0" applyNumberFormat="1" applyFont="1" applyBorder="1" applyAlignment="1">
      <alignment horizontal="center"/>
    </xf>
    <xf numFmtId="168" fontId="2" fillId="0" borderId="51" xfId="0" applyNumberFormat="1" applyFont="1" applyBorder="1" applyAlignment="1">
      <alignment horizontal="center"/>
    </xf>
    <xf numFmtId="168" fontId="2" fillId="0" borderId="52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68" fontId="2" fillId="0" borderId="47" xfId="0" applyNumberFormat="1" applyFont="1" applyBorder="1" applyAlignment="1">
      <alignment horizontal="center"/>
    </xf>
    <xf numFmtId="0" fontId="2" fillId="0" borderId="58" xfId="0" applyFont="1" applyBorder="1"/>
    <xf numFmtId="0" fontId="2" fillId="0" borderId="50" xfId="0" applyFont="1" applyBorder="1"/>
    <xf numFmtId="0" fontId="2" fillId="0" borderId="60" xfId="0" applyFont="1" applyBorder="1"/>
    <xf numFmtId="166" fontId="1" fillId="0" borderId="28" xfId="0" applyNumberFormat="1" applyFont="1" applyBorder="1" applyAlignment="1">
      <alignment horizontal="center"/>
    </xf>
    <xf numFmtId="0" fontId="1" fillId="0" borderId="16" xfId="0" applyFont="1" applyBorder="1"/>
    <xf numFmtId="0" fontId="1" fillId="2" borderId="52" xfId="0" applyFont="1" applyFill="1" applyBorder="1" applyAlignment="1">
      <alignment horizontal="right"/>
    </xf>
    <xf numFmtId="165" fontId="1" fillId="2" borderId="49" xfId="0" applyNumberFormat="1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166" fontId="1" fillId="0" borderId="5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0" fontId="2" fillId="0" borderId="36" xfId="0" applyFont="1" applyBorder="1"/>
    <xf numFmtId="0" fontId="1" fillId="0" borderId="59" xfId="0" applyFont="1" applyBorder="1"/>
    <xf numFmtId="0" fontId="1" fillId="2" borderId="55" xfId="0" applyFont="1" applyFill="1" applyBorder="1"/>
    <xf numFmtId="0" fontId="2" fillId="2" borderId="46" xfId="0" applyFont="1" applyFill="1" applyBorder="1"/>
    <xf numFmtId="0" fontId="2" fillId="0" borderId="54" xfId="0" applyFont="1" applyBorder="1"/>
    <xf numFmtId="0" fontId="2" fillId="0" borderId="53" xfId="0" applyFont="1" applyBorder="1"/>
    <xf numFmtId="0" fontId="2" fillId="0" borderId="51" xfId="0" applyFont="1" applyBorder="1"/>
    <xf numFmtId="0" fontId="2" fillId="0" borderId="52" xfId="0" applyFont="1" applyBorder="1"/>
    <xf numFmtId="0" fontId="1" fillId="0" borderId="45" xfId="0" applyFont="1" applyBorder="1"/>
    <xf numFmtId="0" fontId="2" fillId="2" borderId="5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64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horizontal="center"/>
    </xf>
    <xf numFmtId="0" fontId="1" fillId="0" borderId="66" xfId="0" applyFont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/>
    <xf numFmtId="0" fontId="2" fillId="0" borderId="0" xfId="0" applyFont="1" applyBorder="1" applyAlignment="1">
      <alignment vertical="center"/>
    </xf>
    <xf numFmtId="0" fontId="2" fillId="0" borderId="6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67" xfId="0" applyFont="1" applyBorder="1"/>
    <xf numFmtId="0" fontId="2" fillId="2" borderId="3" xfId="0" applyFont="1" applyFill="1" applyBorder="1"/>
    <xf numFmtId="0" fontId="1" fillId="0" borderId="38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9" xfId="0" applyFont="1" applyBorder="1"/>
    <xf numFmtId="0" fontId="2" fillId="0" borderId="45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2" xfId="0" applyFont="1" applyBorder="1"/>
    <xf numFmtId="0" fontId="2" fillId="0" borderId="68" xfId="0" applyFont="1" applyBorder="1"/>
    <xf numFmtId="0" fontId="2" fillId="0" borderId="43" xfId="0" applyFont="1" applyBorder="1" applyAlignment="1">
      <alignment horizontal="center"/>
    </xf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2" fillId="2" borderId="45" xfId="0" applyFont="1" applyFill="1" applyBorder="1"/>
    <xf numFmtId="166" fontId="1" fillId="2" borderId="29" xfId="0" applyNumberFormat="1" applyFont="1" applyFill="1" applyBorder="1" applyAlignment="1">
      <alignment horizontal="center" vertical="center"/>
    </xf>
    <xf numFmtId="165" fontId="1" fillId="2" borderId="30" xfId="0" applyNumberFormat="1" applyFont="1" applyFill="1" applyBorder="1" applyAlignment="1">
      <alignment horizontal="center"/>
    </xf>
    <xf numFmtId="0" fontId="5" fillId="0" borderId="29" xfId="1" applyFont="1" applyBorder="1" applyAlignment="1">
      <alignment vertical="center"/>
    </xf>
    <xf numFmtId="0" fontId="2" fillId="0" borderId="45" xfId="0" applyFont="1" applyBorder="1" applyAlignment="1">
      <alignment vertical="center" wrapText="1"/>
    </xf>
    <xf numFmtId="164" fontId="2" fillId="0" borderId="29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165" fontId="1" fillId="2" borderId="30" xfId="0" applyNumberFormat="1" applyFont="1" applyFill="1" applyBorder="1" applyAlignment="1">
      <alignment horizontal="center" vertical="center"/>
    </xf>
    <xf numFmtId="0" fontId="5" fillId="0" borderId="68" xfId="1" applyFont="1" applyBorder="1" applyAlignment="1">
      <alignment vertical="center"/>
    </xf>
    <xf numFmtId="0" fontId="2" fillId="0" borderId="68" xfId="0" applyFont="1" applyBorder="1" applyAlignment="1">
      <alignment horizontal="center"/>
    </xf>
    <xf numFmtId="0" fontId="1" fillId="3" borderId="40" xfId="0" applyFont="1" applyFill="1" applyBorder="1"/>
    <xf numFmtId="164" fontId="1" fillId="3" borderId="68" xfId="0" applyNumberFormat="1" applyFont="1" applyFill="1" applyBorder="1" applyAlignment="1">
      <alignment horizontal="center" vertical="center"/>
    </xf>
    <xf numFmtId="165" fontId="1" fillId="3" borderId="43" xfId="0" applyNumberFormat="1" applyFont="1" applyFill="1" applyBorder="1" applyAlignment="1">
      <alignment horizontal="center" vertical="center"/>
    </xf>
    <xf numFmtId="0" fontId="5" fillId="0" borderId="69" xfId="1" applyFont="1" applyBorder="1" applyAlignment="1">
      <alignment vertical="center"/>
    </xf>
    <xf numFmtId="0" fontId="5" fillId="0" borderId="70" xfId="1" applyFont="1" applyBorder="1" applyAlignment="1">
      <alignment vertical="center"/>
    </xf>
    <xf numFmtId="0" fontId="2" fillId="0" borderId="70" xfId="0" applyFont="1" applyBorder="1" applyAlignment="1">
      <alignment horizontal="center"/>
    </xf>
    <xf numFmtId="0" fontId="2" fillId="2" borderId="72" xfId="0" applyFont="1" applyFill="1" applyBorder="1"/>
    <xf numFmtId="164" fontId="1" fillId="2" borderId="70" xfId="0" applyNumberFormat="1" applyFont="1" applyFill="1" applyBorder="1" applyAlignment="1">
      <alignment horizontal="center" vertical="center"/>
    </xf>
    <xf numFmtId="165" fontId="1" fillId="2" borderId="71" xfId="0" applyNumberFormat="1" applyFont="1" applyFill="1" applyBorder="1" applyAlignment="1">
      <alignment horizontal="center" vertical="center"/>
    </xf>
    <xf numFmtId="0" fontId="1" fillId="0" borderId="29" xfId="0" applyFont="1" applyBorder="1"/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0" borderId="31" xfId="0" applyFont="1" applyBorder="1" applyAlignment="1"/>
    <xf numFmtId="0" fontId="1" fillId="0" borderId="29" xfId="0" applyFont="1" applyBorder="1" applyAlignment="1"/>
    <xf numFmtId="0" fontId="2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1" fillId="0" borderId="68" xfId="0" applyFont="1" applyBorder="1"/>
    <xf numFmtId="166" fontId="1" fillId="2" borderId="68" xfId="0" applyNumberFormat="1" applyFont="1" applyFill="1" applyBorder="1" applyAlignment="1">
      <alignment horizontal="center" vertical="center"/>
    </xf>
    <xf numFmtId="165" fontId="1" fillId="2" borderId="43" xfId="0" applyNumberFormat="1" applyFont="1" applyFill="1" applyBorder="1" applyAlignment="1">
      <alignment horizontal="center" vertical="center"/>
    </xf>
    <xf numFmtId="0" fontId="1" fillId="0" borderId="70" xfId="0" applyFont="1" applyBorder="1"/>
    <xf numFmtId="20" fontId="2" fillId="0" borderId="30" xfId="0" applyNumberFormat="1" applyFont="1" applyBorder="1" applyAlignment="1">
      <alignment horizontal="center"/>
    </xf>
    <xf numFmtId="0" fontId="2" fillId="0" borderId="73" xfId="0" applyFont="1" applyBorder="1"/>
    <xf numFmtId="0" fontId="1" fillId="2" borderId="45" xfId="0" applyFont="1" applyFill="1" applyBorder="1" applyAlignment="1">
      <alignment vertical="center"/>
    </xf>
    <xf numFmtId="20" fontId="2" fillId="0" borderId="30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20" fontId="2" fillId="0" borderId="43" xfId="0" applyNumberFormat="1" applyFont="1" applyBorder="1" applyAlignment="1">
      <alignment horizontal="center"/>
    </xf>
    <xf numFmtId="164" fontId="1" fillId="2" borderId="68" xfId="0" applyNumberFormat="1" applyFont="1" applyFill="1" applyBorder="1" applyAlignment="1">
      <alignment horizontal="center" vertical="center"/>
    </xf>
    <xf numFmtId="20" fontId="2" fillId="0" borderId="71" xfId="0" applyNumberFormat="1" applyFont="1" applyBorder="1" applyAlignment="1">
      <alignment horizontal="center"/>
    </xf>
    <xf numFmtId="164" fontId="1" fillId="0" borderId="70" xfId="0" applyNumberFormat="1" applyFont="1" applyFill="1" applyBorder="1" applyAlignment="1">
      <alignment horizontal="center" vertical="center"/>
    </xf>
    <xf numFmtId="165" fontId="1" fillId="0" borderId="7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20" fontId="2" fillId="0" borderId="43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74" xfId="0" applyFont="1" applyFill="1" applyBorder="1"/>
    <xf numFmtId="0" fontId="2" fillId="2" borderId="69" xfId="0" applyFont="1" applyFill="1" applyBorder="1"/>
    <xf numFmtId="0" fontId="2" fillId="2" borderId="70" xfId="0" applyFont="1" applyFill="1" applyBorder="1"/>
    <xf numFmtId="0" fontId="2" fillId="2" borderId="71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0" xfId="0" applyFont="1" applyFill="1" applyBorder="1"/>
    <xf numFmtId="164" fontId="1" fillId="0" borderId="68" xfId="0" applyNumberFormat="1" applyFont="1" applyFill="1" applyBorder="1" applyAlignment="1">
      <alignment horizontal="center"/>
    </xf>
    <xf numFmtId="165" fontId="1" fillId="0" borderId="43" xfId="0" applyNumberFormat="1" applyFont="1" applyFill="1" applyBorder="1" applyAlignment="1">
      <alignment horizontal="center"/>
    </xf>
    <xf numFmtId="0" fontId="1" fillId="2" borderId="72" xfId="0" applyFont="1" applyFill="1" applyBorder="1"/>
    <xf numFmtId="165" fontId="1" fillId="2" borderId="71" xfId="0" applyNumberFormat="1" applyFont="1" applyFill="1" applyBorder="1" applyAlignment="1">
      <alignment horizontal="center"/>
    </xf>
    <xf numFmtId="0" fontId="2" fillId="0" borderId="40" xfId="0" applyFont="1" applyBorder="1"/>
    <xf numFmtId="164" fontId="2" fillId="0" borderId="68" xfId="0" applyNumberFormat="1" applyFont="1" applyFill="1" applyBorder="1" applyAlignment="1">
      <alignment horizontal="center" vertical="center"/>
    </xf>
    <xf numFmtId="165" fontId="2" fillId="0" borderId="4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6" fontId="1" fillId="2" borderId="70" xfId="0" applyNumberFormat="1" applyFont="1" applyFill="1" applyBorder="1" applyAlignment="1">
      <alignment horizontal="center" vertical="center"/>
    </xf>
    <xf numFmtId="0" fontId="5" fillId="0" borderId="29" xfId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73" xfId="0" applyFont="1" applyFill="1" applyBorder="1" applyAlignment="1">
      <alignment vertical="center" wrapText="1"/>
    </xf>
    <xf numFmtId="0" fontId="5" fillId="2" borderId="68" xfId="1" applyFont="1" applyFill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20" fontId="2" fillId="0" borderId="71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1" fillId="2" borderId="45" xfId="0" applyFont="1" applyFill="1" applyBorder="1"/>
    <xf numFmtId="0" fontId="2" fillId="0" borderId="31" xfId="0" applyFont="1" applyBorder="1" applyAlignment="1">
      <alignment vertical="center" wrapText="1"/>
    </xf>
    <xf numFmtId="0" fontId="2" fillId="0" borderId="45" xfId="0" applyFont="1" applyBorder="1"/>
    <xf numFmtId="0" fontId="2" fillId="0" borderId="47" xfId="0" applyFont="1" applyBorder="1" applyAlignment="1">
      <alignment vertical="center"/>
    </xf>
    <xf numFmtId="0" fontId="5" fillId="0" borderId="48" xfId="1" applyFont="1" applyBorder="1"/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2" borderId="46" xfId="0" applyFont="1" applyFill="1" applyBorder="1" applyAlignment="1">
      <alignment vertical="center"/>
    </xf>
    <xf numFmtId="164" fontId="1" fillId="2" borderId="48" xfId="0" applyNumberFormat="1" applyFont="1" applyFill="1" applyBorder="1" applyAlignment="1">
      <alignment horizontal="center" vertical="center"/>
    </xf>
    <xf numFmtId="165" fontId="1" fillId="2" borderId="49" xfId="0" applyNumberFormat="1" applyFont="1" applyFill="1" applyBorder="1" applyAlignment="1">
      <alignment horizontal="center" vertical="center"/>
    </xf>
    <xf numFmtId="0" fontId="5" fillId="0" borderId="18" xfId="1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67" xfId="1" applyFont="1" applyBorder="1"/>
    <xf numFmtId="164" fontId="1" fillId="0" borderId="18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1" fillId="2" borderId="56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horizontal="center" vertical="center"/>
    </xf>
    <xf numFmtId="0" fontId="5" fillId="0" borderId="29" xfId="1" applyFont="1" applyBorder="1"/>
    <xf numFmtId="0" fontId="5" fillId="0" borderId="42" xfId="1" applyFont="1" applyBorder="1"/>
    <xf numFmtId="0" fontId="2" fillId="0" borderId="75" xfId="0" applyFont="1" applyBorder="1"/>
    <xf numFmtId="0" fontId="5" fillId="2" borderId="75" xfId="1" applyFont="1" applyFill="1" applyBorder="1"/>
    <xf numFmtId="0" fontId="2" fillId="0" borderId="56" xfId="0" applyFont="1" applyBorder="1"/>
    <xf numFmtId="0" fontId="1" fillId="2" borderId="56" xfId="0" applyFont="1" applyFill="1" applyBorder="1"/>
    <xf numFmtId="0" fontId="5" fillId="0" borderId="31" xfId="1" applyFont="1" applyBorder="1" applyAlignment="1">
      <alignment vertical="center" wrapText="1"/>
    </xf>
    <xf numFmtId="0" fontId="5" fillId="0" borderId="42" xfId="1" applyFont="1" applyBorder="1" applyAlignment="1">
      <alignment vertical="center" wrapText="1"/>
    </xf>
    <xf numFmtId="0" fontId="6" fillId="0" borderId="40" xfId="1" applyFont="1" applyBorder="1"/>
    <xf numFmtId="0" fontId="5" fillId="0" borderId="70" xfId="1" applyFont="1" applyFill="1" applyBorder="1"/>
    <xf numFmtId="0" fontId="2" fillId="0" borderId="72" xfId="0" applyFont="1" applyBorder="1"/>
    <xf numFmtId="164" fontId="5" fillId="0" borderId="70" xfId="1" applyNumberFormat="1" applyFont="1" applyFill="1" applyBorder="1" applyAlignment="1">
      <alignment horizontal="left" vertical="center"/>
    </xf>
    <xf numFmtId="165" fontId="2" fillId="0" borderId="71" xfId="0" applyNumberFormat="1" applyFont="1" applyFill="1" applyBorder="1" applyAlignment="1">
      <alignment horizontal="center" vertical="center"/>
    </xf>
    <xf numFmtId="0" fontId="5" fillId="0" borderId="68" xfId="1" applyFont="1" applyBorder="1"/>
    <xf numFmtId="0" fontId="1" fillId="2" borderId="40" xfId="0" applyFont="1" applyFill="1" applyBorder="1" applyAlignment="1">
      <alignment vertical="center"/>
    </xf>
    <xf numFmtId="0" fontId="4" fillId="0" borderId="40" xfId="1" applyFont="1" applyBorder="1"/>
    <xf numFmtId="0" fontId="1" fillId="0" borderId="70" xfId="0" applyFont="1" applyBorder="1" applyAlignment="1">
      <alignment vertical="center"/>
    </xf>
    <xf numFmtId="0" fontId="2" fillId="0" borderId="72" xfId="0" applyFont="1" applyFill="1" applyBorder="1" applyAlignment="1">
      <alignment vertical="center" wrapText="1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6" xfId="0" applyFont="1" applyBorder="1"/>
    <xf numFmtId="169" fontId="1" fillId="2" borderId="26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vertical="center" wrapText="1"/>
    </xf>
    <xf numFmtId="0" fontId="1" fillId="4" borderId="67" xfId="0" applyFont="1" applyFill="1" applyBorder="1" applyAlignment="1">
      <alignment horizontal="center"/>
    </xf>
    <xf numFmtId="0" fontId="1" fillId="4" borderId="18" xfId="0" applyFont="1" applyFill="1" applyBorder="1"/>
    <xf numFmtId="0" fontId="1" fillId="4" borderId="19" xfId="0" applyFont="1" applyFill="1" applyBorder="1"/>
    <xf numFmtId="0" fontId="1" fillId="4" borderId="67" xfId="0" applyFon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/>
    <xf numFmtId="0" fontId="1" fillId="0" borderId="2" xfId="0" applyFont="1" applyBorder="1"/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72" xfId="0" applyFont="1" applyFill="1" applyBorder="1" applyAlignment="1">
      <alignment vertical="center" wrapText="1"/>
    </xf>
    <xf numFmtId="0" fontId="1" fillId="0" borderId="72" xfId="0" applyFont="1" applyBorder="1" applyAlignment="1">
      <alignment vertical="center" wrapText="1"/>
    </xf>
    <xf numFmtId="0" fontId="2" fillId="0" borderId="47" xfId="0" applyFont="1" applyBorder="1"/>
    <xf numFmtId="0" fontId="1" fillId="0" borderId="48" xfId="0" applyFont="1" applyBorder="1"/>
    <xf numFmtId="20" fontId="2" fillId="0" borderId="49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vertical="center" wrapText="1"/>
    </xf>
    <xf numFmtId="166" fontId="1" fillId="0" borderId="48" xfId="0" applyNumberFormat="1" applyFont="1" applyFill="1" applyBorder="1" applyAlignment="1">
      <alignment horizontal="center" vertical="center"/>
    </xf>
    <xf numFmtId="165" fontId="1" fillId="0" borderId="49" xfId="0" applyNumberFormat="1" applyFont="1" applyFill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42" xfId="0" applyFont="1" applyBorder="1" applyAlignment="1">
      <alignment horizontal="center"/>
    </xf>
    <xf numFmtId="168" fontId="1" fillId="0" borderId="9" xfId="0" applyNumberFormat="1" applyFont="1" applyBorder="1" applyAlignment="1">
      <alignment vertical="center"/>
    </xf>
    <xf numFmtId="168" fontId="1" fillId="0" borderId="1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5" xfId="0" applyFont="1" applyFill="1" applyBorder="1" applyAlignment="1">
      <alignment horizontal="center"/>
    </xf>
    <xf numFmtId="0" fontId="2" fillId="0" borderId="74" xfId="0" applyFont="1" applyFill="1" applyBorder="1"/>
    <xf numFmtId="169" fontId="1" fillId="0" borderId="2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5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2" borderId="72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11" xfId="0" applyFont="1" applyBorder="1"/>
    <xf numFmtId="0" fontId="1" fillId="0" borderId="6" xfId="0" applyFont="1" applyFill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46" xfId="0" applyFont="1" applyFill="1" applyBorder="1" applyAlignment="1">
      <alignment vertical="center" wrapText="1"/>
    </xf>
    <xf numFmtId="166" fontId="1" fillId="2" borderId="48" xfId="0" applyNumberFormat="1" applyFont="1" applyFill="1" applyBorder="1" applyAlignment="1">
      <alignment horizontal="center" vertical="center"/>
    </xf>
    <xf numFmtId="0" fontId="1" fillId="2" borderId="31" xfId="0" applyFont="1" applyFill="1" applyBorder="1"/>
    <xf numFmtId="0" fontId="1" fillId="2" borderId="69" xfId="0" applyFont="1" applyFill="1" applyBorder="1"/>
    <xf numFmtId="0" fontId="5" fillId="0" borderId="77" xfId="1" applyFont="1" applyBorder="1" applyAlignment="1">
      <alignment vertical="center" wrapText="1"/>
    </xf>
    <xf numFmtId="0" fontId="2" fillId="0" borderId="42" xfId="0" applyFont="1" applyBorder="1" applyAlignment="1">
      <alignment horizontal="left"/>
    </xf>
    <xf numFmtId="165" fontId="1" fillId="0" borderId="43" xfId="0" applyNumberFormat="1" applyFont="1" applyFill="1" applyBorder="1" applyAlignment="1">
      <alignment horizontal="center" vertical="center"/>
    </xf>
    <xf numFmtId="0" fontId="2" fillId="0" borderId="69" xfId="0" applyFont="1" applyBorder="1" applyAlignment="1">
      <alignment horizontal="left"/>
    </xf>
    <xf numFmtId="0" fontId="5" fillId="0" borderId="73" xfId="1" applyFont="1" applyFill="1" applyBorder="1"/>
    <xf numFmtId="0" fontId="1" fillId="0" borderId="29" xfId="0" applyFont="1" applyBorder="1" applyAlignment="1">
      <alignment wrapText="1"/>
    </xf>
    <xf numFmtId="0" fontId="1" fillId="2" borderId="73" xfId="0" applyFont="1" applyFill="1" applyBorder="1"/>
    <xf numFmtId="0" fontId="2" fillId="0" borderId="0" xfId="0" applyFont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47" xfId="0" applyFont="1" applyFill="1" applyBorder="1"/>
    <xf numFmtId="0" fontId="2" fillId="0" borderId="38" xfId="0" applyFont="1" applyBorder="1"/>
    <xf numFmtId="0" fontId="2" fillId="0" borderId="44" xfId="0" applyFont="1" applyBorder="1" applyAlignment="1">
      <alignment horizontal="center"/>
    </xf>
    <xf numFmtId="20" fontId="2" fillId="0" borderId="39" xfId="0" applyNumberFormat="1" applyFont="1" applyBorder="1" applyAlignment="1">
      <alignment horizontal="center"/>
    </xf>
    <xf numFmtId="164" fontId="1" fillId="0" borderId="44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0" fontId="5" fillId="0" borderId="38" xfId="1" applyFont="1" applyBorder="1"/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10" xfId="0" applyFont="1" applyBorder="1" applyAlignment="1">
      <alignment horizontal="right"/>
    </xf>
    <xf numFmtId="164" fontId="1" fillId="3" borderId="68" xfId="0" applyNumberFormat="1" applyFont="1" applyFill="1" applyBorder="1" applyAlignment="1">
      <alignment horizontal="left" vertical="center"/>
    </xf>
    <xf numFmtId="8" fontId="2" fillId="0" borderId="0" xfId="0" applyNumberFormat="1" applyFont="1" applyAlignment="1">
      <alignment horizontal="left"/>
    </xf>
    <xf numFmtId="0" fontId="7" fillId="0" borderId="56" xfId="0" applyFont="1" applyFill="1" applyBorder="1"/>
    <xf numFmtId="164" fontId="7" fillId="0" borderId="22" xfId="0" applyNumberFormat="1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64" fontId="7" fillId="0" borderId="48" xfId="0" applyNumberFormat="1" applyFont="1" applyFill="1" applyBorder="1" applyAlignment="1">
      <alignment horizontal="center" vertical="center"/>
    </xf>
    <xf numFmtId="165" fontId="7" fillId="0" borderId="49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6" xfId="0" applyFont="1" applyBorder="1"/>
    <xf numFmtId="0" fontId="1" fillId="0" borderId="22" xfId="0" applyFont="1" applyBorder="1"/>
    <xf numFmtId="0" fontId="2" fillId="0" borderId="2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10" xfId="0" applyFont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0" fontId="2" fillId="0" borderId="27" xfId="0" applyFont="1" applyFill="1" applyBorder="1" applyAlignment="1">
      <alignment horizontal="center"/>
    </xf>
    <xf numFmtId="20" fontId="2" fillId="0" borderId="30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 vertical="center"/>
    </xf>
    <xf numFmtId="20" fontId="2" fillId="3" borderId="71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20" fontId="2" fillId="3" borderId="30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20" fontId="2" fillId="3" borderId="49" xfId="0" applyNumberFormat="1" applyFont="1" applyFill="1" applyBorder="1" applyAlignment="1">
      <alignment horizontal="center" vertical="center"/>
    </xf>
    <xf numFmtId="0" fontId="1" fillId="3" borderId="46" xfId="0" applyFont="1" applyFill="1" applyBorder="1"/>
    <xf numFmtId="164" fontId="1" fillId="3" borderId="48" xfId="0" applyNumberFormat="1" applyFont="1" applyFill="1" applyBorder="1" applyAlignment="1">
      <alignment horizontal="center" vertical="center"/>
    </xf>
    <xf numFmtId="165" fontId="1" fillId="3" borderId="49" xfId="0" applyNumberFormat="1" applyFont="1" applyFill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2" fillId="3" borderId="70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" fillId="0" borderId="73" xfId="0" applyFont="1" applyBorder="1"/>
    <xf numFmtId="0" fontId="2" fillId="3" borderId="68" xfId="0" applyFont="1" applyFill="1" applyBorder="1" applyAlignment="1">
      <alignment horizontal="center" vertical="center"/>
    </xf>
    <xf numFmtId="20" fontId="2" fillId="3" borderId="43" xfId="0" applyNumberFormat="1" applyFont="1" applyFill="1" applyBorder="1" applyAlignment="1">
      <alignment horizontal="center" vertical="center"/>
    </xf>
    <xf numFmtId="0" fontId="1" fillId="0" borderId="70" xfId="0" applyFont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2" fillId="3" borderId="45" xfId="0" applyFont="1" applyFill="1" applyBorder="1"/>
    <xf numFmtId="164" fontId="2" fillId="3" borderId="29" xfId="0" applyNumberFormat="1" applyFont="1" applyFill="1" applyBorder="1" applyAlignment="1">
      <alignment horizontal="center" vertical="center"/>
    </xf>
    <xf numFmtId="165" fontId="2" fillId="3" borderId="30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vertical="center"/>
    </xf>
    <xf numFmtId="0" fontId="1" fillId="0" borderId="8" xfId="0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0" borderId="64" xfId="0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/>
    <xf numFmtId="0" fontId="1" fillId="0" borderId="12" xfId="0" applyFont="1" applyBorder="1" applyAlignment="1"/>
    <xf numFmtId="0" fontId="2" fillId="3" borderId="49" xfId="0" applyFont="1" applyFill="1" applyBorder="1" applyAlignment="1">
      <alignment horizontal="center" vertical="center"/>
    </xf>
    <xf numFmtId="0" fontId="5" fillId="0" borderId="44" xfId="1" applyFont="1" applyBorder="1" applyAlignment="1">
      <alignment vertical="center" wrapText="1"/>
    </xf>
    <xf numFmtId="0" fontId="2" fillId="5" borderId="31" xfId="0" applyFont="1" applyFill="1" applyBorder="1" applyAlignment="1"/>
    <xf numFmtId="0" fontId="1" fillId="5" borderId="29" xfId="0" applyFont="1" applyFill="1" applyBorder="1" applyAlignment="1"/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45" xfId="0" applyFont="1" applyFill="1" applyBorder="1" applyAlignment="1">
      <alignment vertical="center"/>
    </xf>
    <xf numFmtId="0" fontId="2" fillId="5" borderId="69" xfId="0" applyFont="1" applyFill="1" applyBorder="1"/>
    <xf numFmtId="0" fontId="5" fillId="5" borderId="70" xfId="1" applyFont="1" applyFill="1" applyBorder="1" applyAlignment="1">
      <alignment vertical="center"/>
    </xf>
    <xf numFmtId="0" fontId="2" fillId="5" borderId="70" xfId="0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0" fontId="2" fillId="5" borderId="72" xfId="0" applyFont="1" applyFill="1" applyBorder="1" applyAlignment="1">
      <alignment vertical="center"/>
    </xf>
    <xf numFmtId="0" fontId="2" fillId="5" borderId="70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5" borderId="31" xfId="0" applyFont="1" applyFill="1" applyBorder="1"/>
    <xf numFmtId="0" fontId="5" fillId="5" borderId="22" xfId="1" applyFont="1" applyFill="1" applyBorder="1"/>
    <xf numFmtId="0" fontId="2" fillId="5" borderId="45" xfId="0" applyFont="1" applyFill="1" applyBorder="1" applyAlignment="1">
      <alignment vertical="center" wrapText="1"/>
    </xf>
    <xf numFmtId="164" fontId="1" fillId="5" borderId="29" xfId="0" applyNumberFormat="1" applyFont="1" applyFill="1" applyBorder="1" applyAlignment="1">
      <alignment horizontal="center" vertical="center"/>
    </xf>
    <xf numFmtId="165" fontId="1" fillId="5" borderId="30" xfId="0" applyNumberFormat="1" applyFont="1" applyFill="1" applyBorder="1" applyAlignment="1">
      <alignment horizontal="center" vertical="center"/>
    </xf>
    <xf numFmtId="0" fontId="2" fillId="0" borderId="69" xfId="0" applyFont="1" applyFill="1" applyBorder="1"/>
    <xf numFmtId="0" fontId="1" fillId="5" borderId="70" xfId="0" applyFont="1" applyFill="1" applyBorder="1"/>
    <xf numFmtId="0" fontId="2" fillId="5" borderId="69" xfId="0" applyFont="1" applyFill="1" applyBorder="1" applyAlignment="1">
      <alignment vertical="center"/>
    </xf>
    <xf numFmtId="0" fontId="1" fillId="5" borderId="70" xfId="0" applyFont="1" applyFill="1" applyBorder="1" applyAlignment="1">
      <alignment vertical="center"/>
    </xf>
    <xf numFmtId="20" fontId="2" fillId="5" borderId="71" xfId="0" applyNumberFormat="1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vertical="center" wrapText="1"/>
    </xf>
    <xf numFmtId="164" fontId="1" fillId="5" borderId="70" xfId="0" applyNumberFormat="1" applyFont="1" applyFill="1" applyBorder="1" applyAlignment="1">
      <alignment horizontal="center" vertical="center"/>
    </xf>
    <xf numFmtId="165" fontId="1" fillId="5" borderId="71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vertical="center"/>
    </xf>
    <xf numFmtId="0" fontId="1" fillId="5" borderId="29" xfId="0" applyFont="1" applyFill="1" applyBorder="1"/>
    <xf numFmtId="0" fontId="2" fillId="5" borderId="29" xfId="0" applyFont="1" applyFill="1" applyBorder="1" applyAlignment="1">
      <alignment horizontal="center" vertical="center"/>
    </xf>
    <xf numFmtId="20" fontId="2" fillId="5" borderId="30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horizontal="center" vertical="center"/>
    </xf>
    <xf numFmtId="165" fontId="1" fillId="5" borderId="23" xfId="0" applyNumberFormat="1" applyFont="1" applyFill="1" applyBorder="1" applyAlignment="1">
      <alignment horizontal="center" vertical="center"/>
    </xf>
    <xf numFmtId="164" fontId="2" fillId="5" borderId="29" xfId="0" applyNumberFormat="1" applyFont="1" applyFill="1" applyBorder="1" applyAlignment="1">
      <alignment horizontal="center" vertical="center"/>
    </xf>
    <xf numFmtId="165" fontId="2" fillId="5" borderId="30" xfId="0" applyNumberFormat="1" applyFont="1" applyFill="1" applyBorder="1" applyAlignment="1">
      <alignment horizontal="center" vertical="center"/>
    </xf>
    <xf numFmtId="0" fontId="2" fillId="5" borderId="56" xfId="0" applyFont="1" applyFill="1" applyBorder="1"/>
    <xf numFmtId="166" fontId="1" fillId="5" borderId="22" xfId="0" applyNumberFormat="1" applyFont="1" applyFill="1" applyBorder="1" applyAlignment="1">
      <alignment horizontal="center" vertical="center"/>
    </xf>
    <xf numFmtId="0" fontId="2" fillId="5" borderId="73" xfId="0" applyFont="1" applyFill="1" applyBorder="1"/>
    <xf numFmtId="0" fontId="2" fillId="5" borderId="73" xfId="0" applyFont="1" applyFill="1" applyBorder="1" applyAlignment="1">
      <alignment vertical="center" wrapText="1"/>
    </xf>
    <xf numFmtId="0" fontId="2" fillId="5" borderId="73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 wrapText="1"/>
    </xf>
    <xf numFmtId="0" fontId="5" fillId="5" borderId="29" xfId="1" applyFont="1" applyFill="1" applyBorder="1" applyAlignment="1">
      <alignment vertical="center" wrapText="1"/>
    </xf>
    <xf numFmtId="0" fontId="5" fillId="5" borderId="31" xfId="1" applyFont="1" applyFill="1" applyBorder="1"/>
    <xf numFmtId="0" fontId="5" fillId="5" borderId="29" xfId="1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21" xfId="0" applyFont="1" applyFill="1" applyBorder="1"/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5" fillId="5" borderId="51" xfId="1" applyFont="1" applyFill="1" applyBorder="1"/>
    <xf numFmtId="0" fontId="2" fillId="5" borderId="42" xfId="0" applyFont="1" applyFill="1" applyBorder="1" applyAlignment="1">
      <alignment vertical="center"/>
    </xf>
    <xf numFmtId="0" fontId="5" fillId="5" borderId="68" xfId="1" applyFont="1" applyFill="1" applyBorder="1" applyAlignment="1">
      <alignment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 wrapText="1"/>
    </xf>
    <xf numFmtId="0" fontId="5" fillId="5" borderId="78" xfId="1" applyFont="1" applyFill="1" applyBorder="1" applyAlignment="1">
      <alignment vertical="center" wrapText="1"/>
    </xf>
    <xf numFmtId="164" fontId="1" fillId="5" borderId="68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left"/>
    </xf>
    <xf numFmtId="0" fontId="2" fillId="5" borderId="70" xfId="0" applyFont="1" applyFill="1" applyBorder="1" applyAlignment="1">
      <alignment horizontal="left"/>
    </xf>
    <xf numFmtId="0" fontId="5" fillId="5" borderId="29" xfId="1" applyFont="1" applyFill="1" applyBorder="1" applyAlignment="1">
      <alignment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45" xfId="0" applyFont="1" applyFill="1" applyBorder="1"/>
    <xf numFmtId="166" fontId="1" fillId="5" borderId="29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5" xfId="0" applyFont="1" applyFill="1" applyBorder="1"/>
    <xf numFmtId="20" fontId="2" fillId="0" borderId="43" xfId="0" applyNumberFormat="1" applyFont="1" applyBorder="1" applyAlignment="1">
      <alignment horizontal="center" vertical="center" wrapText="1"/>
    </xf>
    <xf numFmtId="0" fontId="6" fillId="0" borderId="40" xfId="1" applyFont="1" applyBorder="1" applyAlignment="1">
      <alignment vertical="center"/>
    </xf>
    <xf numFmtId="167" fontId="1" fillId="0" borderId="0" xfId="0" applyNumberFormat="1" applyFont="1" applyBorder="1" applyAlignment="1">
      <alignment horizontal="left" vertical="center"/>
    </xf>
    <xf numFmtId="0" fontId="3" fillId="0" borderId="0" xfId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2" fillId="0" borderId="70" xfId="0" applyFont="1" applyFill="1" applyBorder="1"/>
    <xf numFmtId="164" fontId="2" fillId="0" borderId="70" xfId="0" applyNumberFormat="1" applyFont="1" applyFill="1" applyBorder="1" applyAlignment="1">
      <alignment horizontal="center" vertical="center"/>
    </xf>
    <xf numFmtId="0" fontId="1" fillId="5" borderId="45" xfId="0" applyFont="1" applyFill="1" applyBorder="1"/>
    <xf numFmtId="0" fontId="1" fillId="0" borderId="74" xfId="0" applyFont="1" applyFill="1" applyBorder="1"/>
    <xf numFmtId="166" fontId="1" fillId="0" borderId="26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20" fontId="2" fillId="0" borderId="23" xfId="0" applyNumberFormat="1" applyFont="1" applyBorder="1" applyAlignment="1">
      <alignment horizontal="center"/>
    </xf>
    <xf numFmtId="164" fontId="7" fillId="5" borderId="29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vertical="center"/>
    </xf>
    <xf numFmtId="0" fontId="1" fillId="0" borderId="72" xfId="0" applyFont="1" applyFill="1" applyBorder="1"/>
    <xf numFmtId="0" fontId="1" fillId="0" borderId="45" xfId="0" applyFont="1" applyFill="1" applyBorder="1"/>
    <xf numFmtId="0" fontId="9" fillId="5" borderId="29" xfId="1" applyFont="1" applyFill="1" applyBorder="1" applyAlignment="1">
      <alignment vertical="center"/>
    </xf>
    <xf numFmtId="0" fontId="1" fillId="4" borderId="34" xfId="0" applyFont="1" applyFill="1" applyBorder="1" applyAlignment="1">
      <alignment vertical="center"/>
    </xf>
    <xf numFmtId="1" fontId="1" fillId="4" borderId="82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horizontal="left" vertical="center"/>
    </xf>
    <xf numFmtId="0" fontId="1" fillId="4" borderId="81" xfId="0" applyFont="1" applyFill="1" applyBorder="1" applyAlignment="1">
      <alignment vertical="center"/>
    </xf>
    <xf numFmtId="0" fontId="1" fillId="4" borderId="80" xfId="0" applyFont="1" applyFill="1" applyBorder="1" applyAlignment="1">
      <alignment vertical="center"/>
    </xf>
    <xf numFmtId="0" fontId="1" fillId="4" borderId="79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1" fillId="5" borderId="19" xfId="0" applyFont="1" applyFill="1" applyBorder="1"/>
    <xf numFmtId="0" fontId="1" fillId="5" borderId="18" xfId="0" applyFont="1" applyFill="1" applyBorder="1"/>
    <xf numFmtId="0" fontId="1" fillId="5" borderId="20" xfId="0" applyFont="1" applyFill="1" applyBorder="1"/>
    <xf numFmtId="0" fontId="1" fillId="5" borderId="19" xfId="0" applyFont="1" applyFill="1" applyBorder="1" applyAlignment="1">
      <alignment horizontal="center"/>
    </xf>
    <xf numFmtId="0" fontId="1" fillId="5" borderId="67" xfId="0" applyFont="1" applyFill="1" applyBorder="1"/>
    <xf numFmtId="0" fontId="1" fillId="5" borderId="67" xfId="0" applyFont="1" applyFill="1" applyBorder="1" applyAlignment="1">
      <alignment horizontal="center"/>
    </xf>
    <xf numFmtId="168" fontId="1" fillId="0" borderId="12" xfId="0" applyNumberFormat="1" applyFont="1" applyBorder="1" applyAlignment="1"/>
    <xf numFmtId="0" fontId="1" fillId="0" borderId="2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ationalparks.nsw.gov.au/visit-a-park/parks/blue-mountains-national-park" TargetMode="External"/><Relationship Id="rId13" Type="http://schemas.openxmlformats.org/officeDocument/2006/relationships/hyperlink" Target="http://www.pebblybeach.com.au/getting_here.html" TargetMode="External"/><Relationship Id="rId18" Type="http://schemas.openxmlformats.org/officeDocument/2006/relationships/hyperlink" Target="http://www.nationalparks.nsw.gov.au/camping-and-accommodation/campgrounds/Dry-Tank-campground" TargetMode="External"/><Relationship Id="rId26" Type="http://schemas.openxmlformats.org/officeDocument/2006/relationships/hyperlink" Target="https://www.bayswatercarrental.com.au/booking/select-rate" TargetMode="External"/><Relationship Id="rId3" Type="http://schemas.openxmlformats.org/officeDocument/2006/relationships/hyperlink" Target="http://www.enjoy-darwin.com/casuarina-beach.html" TargetMode="External"/><Relationship Id="rId21" Type="http://schemas.openxmlformats.org/officeDocument/2006/relationships/hyperlink" Target="http://www.nationalparks.nsw.gov.au/camping-and-accommodation/campgrounds/Camp-Blackman" TargetMode="External"/><Relationship Id="rId7" Type="http://schemas.openxmlformats.org/officeDocument/2006/relationships/hyperlink" Target="http://www.nationalparks.nsw.gov.au/things-to-do/Walking-tracks/Wambelong-Nature-walking-track" TargetMode="External"/><Relationship Id="rId12" Type="http://schemas.openxmlformats.org/officeDocument/2006/relationships/hyperlink" Target="http://www.nationalparks.nsw.gov.au/things-to-do/Walking-tracks/Little-Mountain-walking-track" TargetMode="External"/><Relationship Id="rId17" Type="http://schemas.openxmlformats.org/officeDocument/2006/relationships/hyperlink" Target="http://www.nationalparks.nsw.gov.au/things-to-do/Picnic-areas/Bennetts-Gorge-picnic-area/Visitor-Info" TargetMode="External"/><Relationship Id="rId25" Type="http://schemas.openxmlformats.org/officeDocument/2006/relationships/hyperlink" Target="http://www.sydneycityhostels.com.au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ayersrockresort.com.au/accommodation/ayers-rock-campground" TargetMode="External"/><Relationship Id="rId16" Type="http://schemas.openxmlformats.org/officeDocument/2006/relationships/hyperlink" Target="http://www.outback-australia-travel-secrets.com/climbing-ayers-rock-uluru.html" TargetMode="External"/><Relationship Id="rId20" Type="http://schemas.openxmlformats.org/officeDocument/2006/relationships/hyperlink" Target="http://abercrombiecaves.com/" TargetMode="External"/><Relationship Id="rId29" Type="http://schemas.openxmlformats.org/officeDocument/2006/relationships/hyperlink" Target="http://www.outback-australia-travel-secrets.com/litchfield.html" TargetMode="External"/><Relationship Id="rId1" Type="http://schemas.openxmlformats.org/officeDocument/2006/relationships/hyperlink" Target="http://www.parksandwildlife.nt.gov.au/parks/find/elsey" TargetMode="External"/><Relationship Id="rId6" Type="http://schemas.openxmlformats.org/officeDocument/2006/relationships/hyperlink" Target="http://www.nationalparks.nsw.gov.au/things-to-do/Visitor-centres/Fitzroy-Falls-Visitor-Centre/Visitor-Info" TargetMode="External"/><Relationship Id="rId11" Type="http://schemas.openxmlformats.org/officeDocument/2006/relationships/hyperlink" Target="http://www.nationalparks.nsw.gov.au/things-to-do/Walking-tracks/Belougery-Split-Rock-walking-track" TargetMode="External"/><Relationship Id="rId24" Type="http://schemas.openxmlformats.org/officeDocument/2006/relationships/hyperlink" Target="https://www.bayswatercarrental.com.au/booking/select-rate" TargetMode="External"/><Relationship Id="rId32" Type="http://schemas.openxmlformats.org/officeDocument/2006/relationships/hyperlink" Target="http://jumpingcrocodile.com.au/index.html" TargetMode="External"/><Relationship Id="rId5" Type="http://schemas.openxmlformats.org/officeDocument/2006/relationships/hyperlink" Target="http://www.outback-australia-travel-secrets.com/katherine_gorge.html" TargetMode="External"/><Relationship Id="rId15" Type="http://schemas.openxmlformats.org/officeDocument/2006/relationships/hyperlink" Target="http://www.parksaustralia.gov.au/uluru/do/bush-walking.html" TargetMode="External"/><Relationship Id="rId23" Type="http://schemas.openxmlformats.org/officeDocument/2006/relationships/hyperlink" Target="http://www.airportconnect.com.au/BookOnline.aspx" TargetMode="External"/><Relationship Id="rId28" Type="http://schemas.openxmlformats.org/officeDocument/2006/relationships/hyperlink" Target="http://www.exploreaustralia.net.au/Northern-Territory/Around-Darwin/Wak-Wak/Wetlands-Rest-Area" TargetMode="External"/><Relationship Id="rId10" Type="http://schemas.openxmlformats.org/officeDocument/2006/relationships/hyperlink" Target="http://www.nationalparks.nsw.gov.au/camping-and-accommodation/campgrounds/ogma-gap-campground" TargetMode="External"/><Relationship Id="rId19" Type="http://schemas.openxmlformats.org/officeDocument/2006/relationships/hyperlink" Target="http://www.nationalparks.nsw.gov.au/things-to-do/Walking-tracks/Grand-Canyon-track" TargetMode="External"/><Relationship Id="rId31" Type="http://schemas.openxmlformats.org/officeDocument/2006/relationships/hyperlink" Target="http://travelnt.com/en/tennant-creek-and-barkly-region/things-to-do/kunjarrathe-pebbles" TargetMode="External"/><Relationship Id="rId4" Type="http://schemas.openxmlformats.org/officeDocument/2006/relationships/hyperlink" Target="http://www.outback-australia-travel-secrets.com/devils-marbles.html" TargetMode="External"/><Relationship Id="rId9" Type="http://schemas.openxmlformats.org/officeDocument/2006/relationships/hyperlink" Target="http://www.nationalparks.nsw.gov.au/things-to-do/Walking-tracks/Breadknife-and-Grand-High-Tops-walk" TargetMode="External"/><Relationship Id="rId14" Type="http://schemas.openxmlformats.org/officeDocument/2006/relationships/hyperlink" Target="http://www.nationalparks.nsw.gov.au/visit-a-park/parks/Gundabooka-National-Park" TargetMode="External"/><Relationship Id="rId22" Type="http://schemas.openxmlformats.org/officeDocument/2006/relationships/hyperlink" Target="http://www.nationalparks.nsw.gov.au/visit-a-park/parks/Warrumbungle-National-Park" TargetMode="External"/><Relationship Id="rId27" Type="http://schemas.openxmlformats.org/officeDocument/2006/relationships/hyperlink" Target="http://www.exploreaustralia.net.au/Northern-Territory/Around-Darwin/Wak-Wak/Wetlands-Rest-Area" TargetMode="External"/><Relationship Id="rId30" Type="http://schemas.openxmlformats.org/officeDocument/2006/relationships/hyperlink" Target="https://www.freerangecamping.com.au/directory/item/jalmurark-campground-elsey-national-park-lc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ploreaustralia.net.au/Northern-Territory/Around-Darwin/Wak-Wak/Wetlands-Rest-Area" TargetMode="External"/><Relationship Id="rId13" Type="http://schemas.openxmlformats.org/officeDocument/2006/relationships/hyperlink" Target="http://www.sydneycityhostels.com.au/" TargetMode="External"/><Relationship Id="rId18" Type="http://schemas.openxmlformats.org/officeDocument/2006/relationships/hyperlink" Target="http://www.nationalparks.nsw.gov.au/things-to-do/Walking-tracks/Belougery-Split-Rock-walking-track" TargetMode="External"/><Relationship Id="rId26" Type="http://schemas.openxmlformats.org/officeDocument/2006/relationships/hyperlink" Target="http://www.litchfieldnationalpark.com/wangi_falls_litchfield_national_park.htm" TargetMode="External"/><Relationship Id="rId3" Type="http://schemas.openxmlformats.org/officeDocument/2006/relationships/hyperlink" Target="http://www.nationalparks.nsw.gov.au/things-to-do/Walking-tracks/Little-Mountain-walking-track" TargetMode="External"/><Relationship Id="rId21" Type="http://schemas.openxmlformats.org/officeDocument/2006/relationships/hyperlink" Target="http://www.nationalparks.nsw.gov.au/camping-and-accommodation/campgrounds/Dry-Tank-campground" TargetMode="External"/><Relationship Id="rId34" Type="http://schemas.openxmlformats.org/officeDocument/2006/relationships/hyperlink" Target="http://www.nationalparks.nsw.gov.au/things-to-do/Visitor-centres/Fitzroy-Falls-Visitor-Centre/Visitor-Info" TargetMode="External"/><Relationship Id="rId7" Type="http://schemas.openxmlformats.org/officeDocument/2006/relationships/hyperlink" Target="https://www.bayswatercarrental.com.au/booking/select-rate" TargetMode="External"/><Relationship Id="rId12" Type="http://schemas.openxmlformats.org/officeDocument/2006/relationships/hyperlink" Target="http://www.outback-australia-travel-secrets.com/devils-marbles.html" TargetMode="External"/><Relationship Id="rId17" Type="http://schemas.openxmlformats.org/officeDocument/2006/relationships/hyperlink" Target="http://www.blayney-nsw.com/Abercrombie_Caves.html" TargetMode="External"/><Relationship Id="rId25" Type="http://schemas.openxmlformats.org/officeDocument/2006/relationships/hyperlink" Target="https://www.nitmiluktours.com.au/to-do/caravan-camping" TargetMode="External"/><Relationship Id="rId33" Type="http://schemas.openxmlformats.org/officeDocument/2006/relationships/hyperlink" Target="http://www.nationalparks.nsw.gov.au/things-to-do/Guided-tours/archway-cave-self-guided-tour" TargetMode="External"/><Relationship Id="rId2" Type="http://schemas.openxmlformats.org/officeDocument/2006/relationships/hyperlink" Target="http://www.nationalparks.nsw.gov.au/things-to-do/Walking-tracks/Breadknife-and-Grand-High-Tops-walk" TargetMode="External"/><Relationship Id="rId16" Type="http://schemas.openxmlformats.org/officeDocument/2006/relationships/hyperlink" Target="http://www.pebblybeach.com.au/getting_here.html" TargetMode="External"/><Relationship Id="rId20" Type="http://schemas.openxmlformats.org/officeDocument/2006/relationships/hyperlink" Target="http://www.nationalparks.nsw.gov.au/camping-and-accommodation/campgrounds/ogma-gap-campground" TargetMode="External"/><Relationship Id="rId29" Type="http://schemas.openxmlformats.org/officeDocument/2006/relationships/hyperlink" Target="http://www.litchfieldnationalpark.com/Magnetic_Termite_Mounds_Litchfield_National_Park.htm" TargetMode="External"/><Relationship Id="rId1" Type="http://schemas.openxmlformats.org/officeDocument/2006/relationships/hyperlink" Target="http://www.nationalparks.nsw.gov.au/visit-a-park/parks/blue-mountains-national-park" TargetMode="External"/><Relationship Id="rId6" Type="http://schemas.openxmlformats.org/officeDocument/2006/relationships/hyperlink" Target="https://www.bayswatercarrental.com.au/booking/select-rate" TargetMode="External"/><Relationship Id="rId11" Type="http://schemas.openxmlformats.org/officeDocument/2006/relationships/hyperlink" Target="http://travelnt.com/en/tennant-creek-and-barkly-region/things-to-do/kunjarrathe-pebbles" TargetMode="External"/><Relationship Id="rId24" Type="http://schemas.openxmlformats.org/officeDocument/2006/relationships/hyperlink" Target="https://www.freerangecamping.com.au/directory/item/jalmurark-campground-elsey-national-park-lc/" TargetMode="External"/><Relationship Id="rId32" Type="http://schemas.openxmlformats.org/officeDocument/2006/relationships/hyperlink" Target="http://www.nationalparks.nsw.gov.au/camping-and-accommodation/campgrounds/Camp-Blackman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www.nationalparks.nsw.gov.au/things-to-do/Walking-tracks/Grand-Canyon-track" TargetMode="External"/><Relationship Id="rId15" Type="http://schemas.openxmlformats.org/officeDocument/2006/relationships/hyperlink" Target="http://www.boweninn.com.au/" TargetMode="External"/><Relationship Id="rId23" Type="http://schemas.openxmlformats.org/officeDocument/2006/relationships/hyperlink" Target="http://www.raysoutdoors.com.au/Stores/Rays-Darwin/390" TargetMode="External"/><Relationship Id="rId28" Type="http://schemas.openxmlformats.org/officeDocument/2006/relationships/hyperlink" Target="http://www.litchfieldnationalpark.com/Buley_Rockhole_Litchfield_National_Park.htm" TargetMode="External"/><Relationship Id="rId36" Type="http://schemas.openxmlformats.org/officeDocument/2006/relationships/hyperlink" Target="http://www.sydneycityhostels.com.au/" TargetMode="External"/><Relationship Id="rId10" Type="http://schemas.openxmlformats.org/officeDocument/2006/relationships/hyperlink" Target="http://jumpingcrocodile.com.au/index.html" TargetMode="External"/><Relationship Id="rId19" Type="http://schemas.openxmlformats.org/officeDocument/2006/relationships/hyperlink" Target="http://www.nationalparks.nsw.gov.au/visit-a-park/parks/Warrumbungle-National-Park" TargetMode="External"/><Relationship Id="rId31" Type="http://schemas.openxmlformats.org/officeDocument/2006/relationships/hyperlink" Target="http://www.parksaustralia.gov.au/uluru/do/bush-walking.html" TargetMode="External"/><Relationship Id="rId4" Type="http://schemas.openxmlformats.org/officeDocument/2006/relationships/hyperlink" Target="http://www.outback-australia-travel-secrets.com/climbing-ayers-rock-uluru.html" TargetMode="External"/><Relationship Id="rId9" Type="http://schemas.openxmlformats.org/officeDocument/2006/relationships/hyperlink" Target="http://www.exploreaustralia.net.au/Northern-Territory/Around-Darwin/Wak-Wak/Wetlands-Rest-Area" TargetMode="External"/><Relationship Id="rId14" Type="http://schemas.openxmlformats.org/officeDocument/2006/relationships/hyperlink" Target="http://www.hotelscombined.com/Hotel/790_On_George_Backpackers.htm" TargetMode="External"/><Relationship Id="rId22" Type="http://schemas.openxmlformats.org/officeDocument/2006/relationships/hyperlink" Target="http://www.nationalparks.nsw.gov.au/visit-a-park/parks/Gundabooka-National-Park" TargetMode="External"/><Relationship Id="rId27" Type="http://schemas.openxmlformats.org/officeDocument/2006/relationships/hyperlink" Target="http://www.litchfieldnationalpark.com/Florence_Falls_Litchfield_National_Park.htm" TargetMode="External"/><Relationship Id="rId30" Type="http://schemas.openxmlformats.org/officeDocument/2006/relationships/hyperlink" Target="http://northernterritory.com/katherine-and-surrounds/things-to-do/bitter-springs" TargetMode="External"/><Relationship Id="rId35" Type="http://schemas.openxmlformats.org/officeDocument/2006/relationships/hyperlink" Target="http://www.highlandsnsw.com.au/towns/bo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Normal="100" workbookViewId="0">
      <selection activeCell="J12" sqref="J12"/>
    </sheetView>
  </sheetViews>
  <sheetFormatPr defaultRowHeight="15.75" x14ac:dyDescent="0.25"/>
  <cols>
    <col min="1" max="1" width="9.5703125" style="1" customWidth="1"/>
    <col min="2" max="2" width="7.5703125" style="1" customWidth="1"/>
    <col min="3" max="3" width="6" style="1" customWidth="1"/>
    <col min="4" max="4" width="20.85546875" style="1" customWidth="1"/>
    <col min="5" max="5" width="25.85546875" style="1" customWidth="1"/>
    <col min="6" max="6" width="9.85546875" style="1" customWidth="1"/>
    <col min="7" max="7" width="12.28515625" style="1" customWidth="1"/>
    <col min="8" max="8" width="31.140625" style="1" customWidth="1"/>
    <col min="9" max="9" width="7.42578125" style="1" customWidth="1"/>
    <col min="10" max="10" width="11.5703125" style="1" customWidth="1"/>
    <col min="11" max="11" width="9.140625" style="335"/>
    <col min="12" max="16384" width="9.140625" style="1"/>
  </cols>
  <sheetData>
    <row r="1" spans="1:10" x14ac:dyDescent="0.25">
      <c r="A1" s="22" t="s">
        <v>262</v>
      </c>
      <c r="J1" s="143" t="s">
        <v>216</v>
      </c>
    </row>
    <row r="2" spans="1:10" ht="5.25" customHeight="1" thickBot="1" x14ac:dyDescent="0.3">
      <c r="A2" s="38"/>
      <c r="B2" s="39"/>
      <c r="C2" s="39"/>
      <c r="D2" s="39"/>
      <c r="E2" s="41"/>
      <c r="F2" s="38"/>
      <c r="G2" s="38"/>
      <c r="H2" s="39"/>
      <c r="I2" s="38"/>
      <c r="J2" s="38"/>
    </row>
    <row r="3" spans="1:10" ht="33.75" customHeight="1" thickBot="1" x14ac:dyDescent="0.3">
      <c r="A3" s="14" t="s">
        <v>1</v>
      </c>
      <c r="B3" s="15" t="s">
        <v>4</v>
      </c>
      <c r="C3" s="339" t="s">
        <v>321</v>
      </c>
      <c r="D3" s="144" t="s">
        <v>0</v>
      </c>
      <c r="E3" s="15" t="s">
        <v>70</v>
      </c>
      <c r="F3" s="18" t="s">
        <v>252</v>
      </c>
      <c r="G3" s="19" t="s">
        <v>175</v>
      </c>
      <c r="H3" s="16" t="s">
        <v>71</v>
      </c>
      <c r="I3" s="23" t="s">
        <v>28</v>
      </c>
      <c r="J3" s="24" t="s">
        <v>29</v>
      </c>
    </row>
    <row r="4" spans="1:10" x14ac:dyDescent="0.25">
      <c r="A4" s="145">
        <v>0</v>
      </c>
      <c r="B4" s="146" t="s">
        <v>10</v>
      </c>
      <c r="C4" s="147" t="s">
        <v>94</v>
      </c>
      <c r="D4" s="160" t="s">
        <v>220</v>
      </c>
      <c r="E4" s="161"/>
      <c r="F4" s="162"/>
      <c r="G4" s="163"/>
      <c r="H4" s="164"/>
      <c r="I4" s="165"/>
      <c r="J4" s="166"/>
    </row>
    <row r="5" spans="1:10" x14ac:dyDescent="0.25">
      <c r="A5" s="33"/>
      <c r="B5" s="34"/>
      <c r="C5" s="35"/>
      <c r="D5" s="167" t="s">
        <v>336</v>
      </c>
      <c r="E5" s="168"/>
      <c r="F5" s="169"/>
      <c r="G5" s="170"/>
      <c r="H5" s="171" t="s">
        <v>218</v>
      </c>
      <c r="I5" s="172"/>
      <c r="J5" s="173"/>
    </row>
    <row r="6" spans="1:10" ht="15.75" customHeight="1" x14ac:dyDescent="0.25">
      <c r="A6" s="65"/>
      <c r="B6" s="66"/>
      <c r="C6" s="67"/>
      <c r="D6" s="174" t="s">
        <v>219</v>
      </c>
      <c r="E6" s="175"/>
      <c r="F6" s="176"/>
      <c r="G6" s="177"/>
      <c r="H6" s="178" t="s">
        <v>180</v>
      </c>
      <c r="I6" s="179"/>
      <c r="J6" s="180"/>
    </row>
    <row r="7" spans="1:10" x14ac:dyDescent="0.25">
      <c r="A7" s="68">
        <v>1</v>
      </c>
      <c r="B7" s="69" t="s">
        <v>18</v>
      </c>
      <c r="C7" s="70" t="s">
        <v>93</v>
      </c>
      <c r="D7" s="45" t="s">
        <v>181</v>
      </c>
      <c r="E7" s="181" t="s">
        <v>95</v>
      </c>
      <c r="F7" s="181"/>
      <c r="G7" s="47" t="s">
        <v>97</v>
      </c>
      <c r="H7" s="182"/>
      <c r="I7" s="183"/>
      <c r="J7" s="184"/>
    </row>
    <row r="8" spans="1:10" x14ac:dyDescent="0.25">
      <c r="A8" s="33"/>
      <c r="B8" s="34"/>
      <c r="C8" s="35"/>
      <c r="D8" s="185" t="s">
        <v>95</v>
      </c>
      <c r="E8" s="186" t="s">
        <v>96</v>
      </c>
      <c r="F8" s="186"/>
      <c r="G8" s="187" t="s">
        <v>98</v>
      </c>
      <c r="H8" s="171"/>
      <c r="I8" s="172"/>
      <c r="J8" s="173"/>
    </row>
    <row r="9" spans="1:10" x14ac:dyDescent="0.25">
      <c r="A9" s="65"/>
      <c r="B9" s="66"/>
      <c r="C9" s="67"/>
      <c r="D9" s="188" t="s">
        <v>95</v>
      </c>
      <c r="E9" s="189" t="s">
        <v>49</v>
      </c>
      <c r="F9" s="189"/>
      <c r="G9" s="190" t="s">
        <v>99</v>
      </c>
      <c r="H9" s="191"/>
      <c r="I9" s="179"/>
      <c r="J9" s="180"/>
    </row>
    <row r="10" spans="1:10" x14ac:dyDescent="0.25">
      <c r="A10" s="68"/>
      <c r="B10" s="69"/>
      <c r="C10" s="70"/>
      <c r="D10" s="45" t="s">
        <v>49</v>
      </c>
      <c r="E10" s="181" t="s">
        <v>51</v>
      </c>
      <c r="F10" s="181"/>
      <c r="G10" s="47" t="s">
        <v>100</v>
      </c>
      <c r="H10" s="192"/>
      <c r="I10" s="63"/>
      <c r="J10" s="64"/>
    </row>
    <row r="11" spans="1:10" ht="15.75" customHeight="1" x14ac:dyDescent="0.25">
      <c r="A11" s="68"/>
      <c r="B11" s="69"/>
      <c r="C11" s="70"/>
      <c r="D11" s="45"/>
      <c r="E11" s="181" t="s">
        <v>137</v>
      </c>
      <c r="F11" s="181"/>
      <c r="G11" s="47" t="s">
        <v>103</v>
      </c>
      <c r="H11" s="193" t="s">
        <v>300</v>
      </c>
      <c r="I11" s="194">
        <f>460.9+285.13</f>
        <v>746.03</v>
      </c>
      <c r="J11" s="195">
        <f>8324.8+5322.79</f>
        <v>13647.59</v>
      </c>
    </row>
    <row r="12" spans="1:10" ht="15.75" customHeight="1" x14ac:dyDescent="0.25">
      <c r="A12" s="68" t="s">
        <v>268</v>
      </c>
      <c r="B12" s="69" t="s">
        <v>5</v>
      </c>
      <c r="C12" s="70" t="s">
        <v>11</v>
      </c>
      <c r="D12" s="45" t="s">
        <v>82</v>
      </c>
      <c r="E12" s="196" t="s">
        <v>81</v>
      </c>
      <c r="F12" s="46">
        <v>8</v>
      </c>
      <c r="G12" s="47" t="s">
        <v>101</v>
      </c>
      <c r="H12" s="197" t="s">
        <v>102</v>
      </c>
      <c r="I12" s="198"/>
      <c r="J12" s="199"/>
    </row>
    <row r="13" spans="1:10" x14ac:dyDescent="0.25">
      <c r="A13" s="68"/>
      <c r="B13" s="69"/>
      <c r="C13" s="70"/>
      <c r="D13" s="45" t="s">
        <v>81</v>
      </c>
      <c r="E13" s="213" t="s">
        <v>272</v>
      </c>
      <c r="F13" s="46">
        <v>5.9</v>
      </c>
      <c r="G13" s="47" t="s">
        <v>230</v>
      </c>
      <c r="H13" s="193" t="s">
        <v>273</v>
      </c>
      <c r="I13" s="200">
        <v>50</v>
      </c>
      <c r="J13" s="201">
        <f>I13*$J$108</f>
        <v>890</v>
      </c>
    </row>
    <row r="14" spans="1:10" x14ac:dyDescent="0.25">
      <c r="A14" s="348" t="s">
        <v>322</v>
      </c>
      <c r="B14" s="347"/>
      <c r="C14" s="70"/>
      <c r="D14" s="304" t="s">
        <v>272</v>
      </c>
      <c r="E14" s="307" t="s">
        <v>274</v>
      </c>
      <c r="F14" s="305">
        <v>1.5</v>
      </c>
      <c r="G14" s="306" t="s">
        <v>275</v>
      </c>
      <c r="H14" s="243" t="s">
        <v>301</v>
      </c>
      <c r="I14" s="308">
        <v>16.989999999999998</v>
      </c>
      <c r="J14" s="201">
        <f>I14*$J$108</f>
        <v>302.42199999999997</v>
      </c>
    </row>
    <row r="15" spans="1:10" x14ac:dyDescent="0.25">
      <c r="A15" s="33"/>
      <c r="B15" s="34"/>
      <c r="C15" s="35"/>
      <c r="D15" s="185" t="s">
        <v>274</v>
      </c>
      <c r="E15" s="202" t="s">
        <v>222</v>
      </c>
      <c r="F15" s="203">
        <v>61.5</v>
      </c>
      <c r="G15" s="187" t="s">
        <v>276</v>
      </c>
      <c r="H15" s="204" t="s">
        <v>221</v>
      </c>
      <c r="I15" s="205"/>
      <c r="J15" s="206"/>
    </row>
    <row r="16" spans="1:10" x14ac:dyDescent="0.25">
      <c r="A16" s="65"/>
      <c r="B16" s="66"/>
      <c r="C16" s="67"/>
      <c r="D16" s="207" t="s">
        <v>222</v>
      </c>
      <c r="E16" s="208" t="s">
        <v>224</v>
      </c>
      <c r="F16" s="209">
        <v>4</v>
      </c>
      <c r="G16" s="190" t="s">
        <v>223</v>
      </c>
      <c r="H16" s="210" t="s">
        <v>225</v>
      </c>
      <c r="I16" s="211">
        <f>3*40</f>
        <v>120</v>
      </c>
      <c r="J16" s="212">
        <f>I16*$J$108</f>
        <v>2136</v>
      </c>
    </row>
    <row r="17" spans="1:11" x14ac:dyDescent="0.25">
      <c r="A17" s="68"/>
      <c r="B17" s="69"/>
      <c r="C17" s="70"/>
      <c r="D17" s="45" t="s">
        <v>343</v>
      </c>
      <c r="E17" s="213" t="s">
        <v>227</v>
      </c>
      <c r="F17" s="46">
        <v>137</v>
      </c>
      <c r="G17" s="47" t="s">
        <v>228</v>
      </c>
      <c r="H17" s="196" t="s">
        <v>226</v>
      </c>
      <c r="I17" s="214"/>
      <c r="J17" s="215"/>
    </row>
    <row r="18" spans="1:11" ht="31.5" x14ac:dyDescent="0.25">
      <c r="A18" s="2" t="s">
        <v>269</v>
      </c>
      <c r="B18" s="148" t="s">
        <v>6</v>
      </c>
      <c r="C18" s="149" t="s">
        <v>12</v>
      </c>
      <c r="D18" s="216" t="s">
        <v>227</v>
      </c>
      <c r="E18" s="217" t="s">
        <v>229</v>
      </c>
      <c r="F18" s="46" t="s">
        <v>259</v>
      </c>
      <c r="G18" s="47" t="s">
        <v>230</v>
      </c>
      <c r="H18" s="197" t="s">
        <v>231</v>
      </c>
      <c r="I18" s="214"/>
      <c r="J18" s="215"/>
    </row>
    <row r="19" spans="1:11" ht="31.5" x14ac:dyDescent="0.25">
      <c r="A19" s="348" t="s">
        <v>323</v>
      </c>
      <c r="B19" s="347"/>
      <c r="C19" s="70"/>
      <c r="D19" s="218" t="s">
        <v>229</v>
      </c>
      <c r="E19" s="219" t="s">
        <v>237</v>
      </c>
      <c r="F19" s="183" t="s">
        <v>258</v>
      </c>
      <c r="G19" s="184" t="s">
        <v>234</v>
      </c>
      <c r="H19" s="220" t="s">
        <v>232</v>
      </c>
      <c r="I19" s="214"/>
      <c r="J19" s="215"/>
    </row>
    <row r="20" spans="1:11" x14ac:dyDescent="0.25">
      <c r="A20" s="8"/>
      <c r="B20" s="9"/>
      <c r="C20" s="10"/>
      <c r="D20" s="185" t="s">
        <v>233</v>
      </c>
      <c r="E20" s="221" t="s">
        <v>236</v>
      </c>
      <c r="F20" s="203">
        <v>18</v>
      </c>
      <c r="G20" s="187" t="s">
        <v>235</v>
      </c>
      <c r="H20" s="58" t="s">
        <v>104</v>
      </c>
      <c r="I20" s="222">
        <f>3*6.6</f>
        <v>19.799999999999997</v>
      </c>
      <c r="J20" s="223">
        <f>I20*$J$108</f>
        <v>352.43999999999994</v>
      </c>
    </row>
    <row r="21" spans="1:11" x14ac:dyDescent="0.25">
      <c r="A21" s="5"/>
      <c r="B21" s="6"/>
      <c r="C21" s="7"/>
      <c r="D21" s="188" t="s">
        <v>236</v>
      </c>
      <c r="E21" s="224" t="s">
        <v>238</v>
      </c>
      <c r="F21" s="209" t="s">
        <v>257</v>
      </c>
      <c r="G21" s="190" t="s">
        <v>129</v>
      </c>
      <c r="H21" s="191" t="s">
        <v>242</v>
      </c>
      <c r="I21" s="179"/>
      <c r="J21" s="180"/>
    </row>
    <row r="22" spans="1:11" x14ac:dyDescent="0.25">
      <c r="A22" s="2"/>
      <c r="B22" s="3"/>
      <c r="C22" s="4"/>
      <c r="D22" s="45" t="s">
        <v>238</v>
      </c>
      <c r="E22" s="213" t="s">
        <v>239</v>
      </c>
      <c r="F22" s="46" t="s">
        <v>256</v>
      </c>
      <c r="G22" s="225" t="s">
        <v>240</v>
      </c>
      <c r="H22" s="197" t="s">
        <v>242</v>
      </c>
      <c r="I22" s="63"/>
      <c r="J22" s="64"/>
    </row>
    <row r="23" spans="1:11" x14ac:dyDescent="0.25">
      <c r="A23" s="2" t="s">
        <v>270</v>
      </c>
      <c r="B23" s="3" t="s">
        <v>7</v>
      </c>
      <c r="C23" s="4" t="s">
        <v>13</v>
      </c>
      <c r="D23" s="45" t="s">
        <v>236</v>
      </c>
      <c r="E23" s="213" t="s">
        <v>241</v>
      </c>
      <c r="F23" s="46">
        <v>8.6</v>
      </c>
      <c r="G23" s="225" t="s">
        <v>230</v>
      </c>
      <c r="H23" s="226" t="s">
        <v>243</v>
      </c>
      <c r="I23" s="183"/>
      <c r="J23" s="184"/>
    </row>
    <row r="24" spans="1:11" x14ac:dyDescent="0.25">
      <c r="A24" s="349" t="s">
        <v>323</v>
      </c>
      <c r="B24" s="347"/>
      <c r="C24" s="4"/>
      <c r="D24" s="45" t="s">
        <v>241</v>
      </c>
      <c r="E24" s="196" t="s">
        <v>52</v>
      </c>
      <c r="F24" s="46">
        <v>300</v>
      </c>
      <c r="G24" s="47" t="s">
        <v>244</v>
      </c>
      <c r="H24" s="229" t="s">
        <v>279</v>
      </c>
      <c r="I24" s="200">
        <v>15</v>
      </c>
      <c r="J24" s="201">
        <f>I24*$J$108</f>
        <v>267</v>
      </c>
    </row>
    <row r="25" spans="1:11" x14ac:dyDescent="0.25">
      <c r="A25" s="8"/>
      <c r="B25" s="9"/>
      <c r="C25" s="10"/>
      <c r="D25" s="185"/>
      <c r="E25" s="221" t="s">
        <v>245</v>
      </c>
      <c r="F25" s="203" t="s">
        <v>255</v>
      </c>
      <c r="G25" s="187" t="s">
        <v>41</v>
      </c>
      <c r="H25" s="58" t="s">
        <v>105</v>
      </c>
      <c r="I25" s="222">
        <f>3*6.6</f>
        <v>19.799999999999997</v>
      </c>
      <c r="J25" s="223">
        <f>I25*$J$108</f>
        <v>352.43999999999994</v>
      </c>
    </row>
    <row r="26" spans="1:11" x14ac:dyDescent="0.25">
      <c r="A26" s="29"/>
      <c r="B26" s="30"/>
      <c r="C26" s="31"/>
      <c r="D26" s="188" t="s">
        <v>53</v>
      </c>
      <c r="E26" s="189" t="s">
        <v>246</v>
      </c>
      <c r="F26" s="209" t="s">
        <v>255</v>
      </c>
      <c r="G26" s="190" t="s">
        <v>41</v>
      </c>
      <c r="H26" s="188" t="s">
        <v>267</v>
      </c>
      <c r="I26" s="209"/>
      <c r="J26" s="190"/>
    </row>
    <row r="27" spans="1:11" x14ac:dyDescent="0.25">
      <c r="A27" s="2" t="s">
        <v>271</v>
      </c>
      <c r="B27" s="3" t="s">
        <v>8</v>
      </c>
      <c r="C27" s="4" t="s">
        <v>14</v>
      </c>
      <c r="D27" s="45" t="s">
        <v>53</v>
      </c>
      <c r="E27" s="181" t="s">
        <v>106</v>
      </c>
      <c r="F27" s="46"/>
      <c r="G27" s="47"/>
      <c r="H27" s="227" t="s">
        <v>138</v>
      </c>
      <c r="I27" s="200">
        <f>42*1.28</f>
        <v>53.76</v>
      </c>
      <c r="J27" s="201">
        <f>I27*$J$108</f>
        <v>956.928</v>
      </c>
    </row>
    <row r="28" spans="1:11" x14ac:dyDescent="0.25">
      <c r="A28" s="349" t="s">
        <v>324</v>
      </c>
      <c r="B28" s="347"/>
      <c r="C28" s="4"/>
      <c r="D28" s="218" t="s">
        <v>106</v>
      </c>
      <c r="E28" s="196" t="s">
        <v>54</v>
      </c>
      <c r="F28" s="183">
        <v>145</v>
      </c>
      <c r="G28" s="228" t="s">
        <v>78</v>
      </c>
      <c r="H28" s="229" t="s">
        <v>179</v>
      </c>
      <c r="I28" s="200">
        <f>40</f>
        <v>40</v>
      </c>
      <c r="J28" s="201">
        <f>I28*$J$108</f>
        <v>712</v>
      </c>
    </row>
    <row r="29" spans="1:11" s="37" customFormat="1" ht="15.75" customHeight="1" x14ac:dyDescent="0.25">
      <c r="A29" s="33"/>
      <c r="B29" s="34"/>
      <c r="C29" s="341">
        <f>SUM(F10:F27)</f>
        <v>544.5</v>
      </c>
      <c r="D29" s="340"/>
      <c r="E29" s="221" t="s">
        <v>80</v>
      </c>
      <c r="F29" s="186"/>
      <c r="G29" s="230"/>
      <c r="H29" s="261" t="s">
        <v>280</v>
      </c>
      <c r="I29" s="222">
        <f>3*6.6</f>
        <v>19.799999999999997</v>
      </c>
      <c r="J29" s="223">
        <f>I29*$J$108</f>
        <v>352.43999999999994</v>
      </c>
      <c r="K29" s="336"/>
    </row>
    <row r="30" spans="1:11" s="37" customFormat="1" ht="15.75" customHeight="1" x14ac:dyDescent="0.25">
      <c r="A30" s="65" t="s">
        <v>282</v>
      </c>
      <c r="B30" s="66" t="s">
        <v>9</v>
      </c>
      <c r="C30" s="67" t="s">
        <v>15</v>
      </c>
      <c r="D30" s="174" t="s">
        <v>80</v>
      </c>
      <c r="E30" s="302" t="s">
        <v>277</v>
      </c>
      <c r="F30" s="179" t="s">
        <v>260</v>
      </c>
      <c r="G30" s="263" t="s">
        <v>124</v>
      </c>
      <c r="H30" s="303" t="s">
        <v>278</v>
      </c>
      <c r="I30" s="233"/>
      <c r="J30" s="234"/>
      <c r="K30" s="336"/>
    </row>
    <row r="31" spans="1:11" s="37" customFormat="1" ht="15.75" customHeight="1" x14ac:dyDescent="0.25">
      <c r="A31" s="350" t="s">
        <v>325</v>
      </c>
      <c r="B31" s="34"/>
      <c r="C31" s="35"/>
      <c r="D31" s="235" t="s">
        <v>80</v>
      </c>
      <c r="E31" s="236" t="s">
        <v>247</v>
      </c>
      <c r="F31" s="172">
        <v>298</v>
      </c>
      <c r="G31" s="237" t="s">
        <v>107</v>
      </c>
      <c r="H31" s="204" t="s">
        <v>315</v>
      </c>
      <c r="I31" s="205"/>
      <c r="J31" s="206"/>
      <c r="K31" s="336"/>
    </row>
    <row r="32" spans="1:11" s="37" customFormat="1" ht="15.75" customHeight="1" x14ac:dyDescent="0.25">
      <c r="A32" s="65"/>
      <c r="B32" s="66"/>
      <c r="C32" s="67"/>
      <c r="D32" s="174" t="s">
        <v>247</v>
      </c>
      <c r="E32" s="208" t="s">
        <v>313</v>
      </c>
      <c r="F32" s="179">
        <v>275</v>
      </c>
      <c r="G32" s="263" t="s">
        <v>316</v>
      </c>
      <c r="H32" s="320" t="s">
        <v>317</v>
      </c>
      <c r="I32" s="233"/>
      <c r="J32" s="234"/>
      <c r="K32" s="336"/>
    </row>
    <row r="33" spans="1:11" s="37" customFormat="1" ht="15.75" customHeight="1" x14ac:dyDescent="0.25">
      <c r="A33" s="68" t="s">
        <v>283</v>
      </c>
      <c r="B33" s="69" t="s">
        <v>10</v>
      </c>
      <c r="C33" s="70" t="s">
        <v>16</v>
      </c>
      <c r="D33" s="218" t="s">
        <v>311</v>
      </c>
      <c r="E33" s="319" t="s">
        <v>314</v>
      </c>
      <c r="F33" s="183">
        <v>16.600000000000001</v>
      </c>
      <c r="G33" s="228" t="s">
        <v>318</v>
      </c>
      <c r="H33" s="239" t="s">
        <v>144</v>
      </c>
      <c r="I33" s="200">
        <f>42*1.51</f>
        <v>63.42</v>
      </c>
      <c r="J33" s="201">
        <f>I33*$J$108</f>
        <v>1128.876</v>
      </c>
      <c r="K33" s="336"/>
    </row>
    <row r="34" spans="1:11" s="154" customFormat="1" ht="15.75" customHeight="1" thickBot="1" x14ac:dyDescent="0.3">
      <c r="A34" s="351" t="s">
        <v>322</v>
      </c>
      <c r="B34" s="12"/>
      <c r="C34" s="342">
        <f>SUM(F28:F33)</f>
        <v>734.6</v>
      </c>
      <c r="D34" s="322" t="s">
        <v>314</v>
      </c>
      <c r="E34" s="323" t="s">
        <v>56</v>
      </c>
      <c r="F34" s="272">
        <v>122</v>
      </c>
      <c r="G34" s="324" t="s">
        <v>319</v>
      </c>
      <c r="H34" s="325" t="s">
        <v>60</v>
      </c>
      <c r="I34" s="326">
        <f>3*3.3</f>
        <v>9.8999999999999986</v>
      </c>
      <c r="J34" s="327">
        <f>I34*$J$108</f>
        <v>176.21999999999997</v>
      </c>
      <c r="K34" s="338"/>
    </row>
    <row r="35" spans="1:11" x14ac:dyDescent="0.25">
      <c r="A35" s="22" t="s">
        <v>261</v>
      </c>
      <c r="J35" s="143" t="s">
        <v>216</v>
      </c>
    </row>
    <row r="36" spans="1:11" ht="8.25" customHeight="1" thickBot="1" x14ac:dyDescent="0.3">
      <c r="A36" s="38"/>
      <c r="B36" s="39"/>
      <c r="C36" s="39"/>
      <c r="D36" s="39"/>
      <c r="E36" s="41"/>
      <c r="F36" s="38"/>
      <c r="G36" s="38"/>
      <c r="H36" s="39"/>
      <c r="I36" s="38"/>
      <c r="J36" s="38"/>
    </row>
    <row r="37" spans="1:11" ht="33.75" customHeight="1" thickBot="1" x14ac:dyDescent="0.3">
      <c r="A37" s="14" t="s">
        <v>1</v>
      </c>
      <c r="B37" s="15" t="s">
        <v>4</v>
      </c>
      <c r="C37" s="339" t="s">
        <v>321</v>
      </c>
      <c r="D37" s="17" t="s">
        <v>0</v>
      </c>
      <c r="E37" s="15" t="s">
        <v>70</v>
      </c>
      <c r="F37" s="18" t="s">
        <v>252</v>
      </c>
      <c r="G37" s="19" t="s">
        <v>175</v>
      </c>
      <c r="H37" s="16" t="s">
        <v>71</v>
      </c>
      <c r="I37" s="23" t="s">
        <v>28</v>
      </c>
      <c r="J37" s="24" t="s">
        <v>29</v>
      </c>
    </row>
    <row r="38" spans="1:11" s="37" customFormat="1" x14ac:dyDescent="0.25">
      <c r="A38" s="32"/>
      <c r="B38" s="66"/>
      <c r="C38" s="67"/>
      <c r="D38" s="188" t="s">
        <v>56</v>
      </c>
      <c r="E38" s="224" t="s">
        <v>55</v>
      </c>
      <c r="F38" s="209" t="s">
        <v>122</v>
      </c>
      <c r="G38" s="232" t="s">
        <v>263</v>
      </c>
      <c r="H38" s="321" t="s">
        <v>264</v>
      </c>
      <c r="I38" s="233"/>
      <c r="J38" s="234"/>
      <c r="K38" s="336"/>
    </row>
    <row r="39" spans="1:11" x14ac:dyDescent="0.25">
      <c r="A39" s="2" t="s">
        <v>284</v>
      </c>
      <c r="B39" s="3" t="s">
        <v>18</v>
      </c>
      <c r="C39" s="4" t="s">
        <v>17</v>
      </c>
      <c r="D39" s="45" t="s">
        <v>56</v>
      </c>
      <c r="E39" s="181" t="s">
        <v>58</v>
      </c>
      <c r="F39" s="46">
        <v>402</v>
      </c>
      <c r="G39" s="225" t="s">
        <v>36</v>
      </c>
      <c r="H39" s="238" t="s">
        <v>285</v>
      </c>
      <c r="I39" s="200">
        <f>40+10</f>
        <v>50</v>
      </c>
      <c r="J39" s="201">
        <f>I39*$J$108</f>
        <v>890</v>
      </c>
    </row>
    <row r="40" spans="1:11" x14ac:dyDescent="0.25">
      <c r="A40" s="349" t="s">
        <v>326</v>
      </c>
      <c r="B40" s="316" t="s">
        <v>327</v>
      </c>
      <c r="C40" s="343">
        <f>SUM(F34:F40)</f>
        <v>607</v>
      </c>
      <c r="D40" s="45" t="s">
        <v>58</v>
      </c>
      <c r="E40" s="213" t="s">
        <v>57</v>
      </c>
      <c r="F40" s="46">
        <v>83</v>
      </c>
      <c r="G40" s="225" t="s">
        <v>59</v>
      </c>
      <c r="H40" s="239" t="s">
        <v>145</v>
      </c>
      <c r="I40" s="200">
        <f>35*1.39</f>
        <v>48.65</v>
      </c>
      <c r="J40" s="201">
        <f>I40*$J$108</f>
        <v>865.97</v>
      </c>
    </row>
    <row r="41" spans="1:11" x14ac:dyDescent="0.25">
      <c r="A41" s="352" t="s">
        <v>326</v>
      </c>
      <c r="B41" s="353" t="s">
        <v>328</v>
      </c>
      <c r="C41" s="159"/>
      <c r="D41" s="240" t="s">
        <v>2</v>
      </c>
      <c r="E41" s="241" t="s">
        <v>25</v>
      </c>
      <c r="F41" s="241"/>
      <c r="G41" s="242" t="s">
        <v>202</v>
      </c>
      <c r="H41" s="243" t="s">
        <v>288</v>
      </c>
      <c r="I41" s="231">
        <v>0</v>
      </c>
      <c r="J41" s="223">
        <f>I41*$J$108</f>
        <v>0</v>
      </c>
    </row>
    <row r="42" spans="1:11" s="39" customFormat="1" x14ac:dyDescent="0.25">
      <c r="A42" s="152" t="s">
        <v>286</v>
      </c>
      <c r="B42" s="139" t="s">
        <v>5</v>
      </c>
      <c r="C42" s="153" t="s">
        <v>3</v>
      </c>
      <c r="D42" s="244" t="s">
        <v>2</v>
      </c>
      <c r="E42" s="245" t="s">
        <v>25</v>
      </c>
      <c r="F42" s="245"/>
      <c r="G42" s="246" t="s">
        <v>27</v>
      </c>
      <c r="H42" s="309" t="s">
        <v>320</v>
      </c>
      <c r="I42" s="211">
        <v>0</v>
      </c>
      <c r="J42" s="212">
        <f>I42*$J$108</f>
        <v>0</v>
      </c>
      <c r="K42" s="337"/>
    </row>
    <row r="43" spans="1:11" x14ac:dyDescent="0.25">
      <c r="A43" s="354" t="s">
        <v>329</v>
      </c>
      <c r="B43" s="317"/>
      <c r="C43" s="10"/>
      <c r="D43" s="185"/>
      <c r="E43" s="221" t="s">
        <v>26</v>
      </c>
      <c r="F43" s="221"/>
      <c r="G43" s="247" t="s">
        <v>203</v>
      </c>
      <c r="H43" s="248" t="s">
        <v>337</v>
      </c>
      <c r="I43" s="249"/>
      <c r="J43" s="250"/>
    </row>
    <row r="44" spans="1:11" x14ac:dyDescent="0.25">
      <c r="A44" s="310" t="s">
        <v>287</v>
      </c>
      <c r="B44" s="311" t="s">
        <v>6</v>
      </c>
      <c r="C44" s="312" t="s">
        <v>19</v>
      </c>
      <c r="D44" s="313" t="s">
        <v>21</v>
      </c>
      <c r="E44" s="311" t="s">
        <v>330</v>
      </c>
      <c r="F44" s="311"/>
      <c r="G44" s="314" t="s">
        <v>196</v>
      </c>
      <c r="H44" s="315"/>
      <c r="I44" s="311"/>
      <c r="J44" s="312"/>
    </row>
    <row r="45" spans="1:11" s="37" customFormat="1" x14ac:dyDescent="0.25">
      <c r="A45" s="355" t="s">
        <v>331</v>
      </c>
      <c r="B45" s="357" t="s">
        <v>333</v>
      </c>
      <c r="C45" s="356" t="s">
        <v>332</v>
      </c>
      <c r="D45" s="188" t="s">
        <v>2</v>
      </c>
      <c r="E45" s="224" t="s">
        <v>248</v>
      </c>
      <c r="F45" s="209">
        <v>83</v>
      </c>
      <c r="G45" s="190" t="s">
        <v>59</v>
      </c>
      <c r="H45" s="251" t="s">
        <v>251</v>
      </c>
      <c r="I45" s="211">
        <v>50</v>
      </c>
      <c r="J45" s="252">
        <f>I45*$J$108</f>
        <v>890</v>
      </c>
      <c r="K45" s="336"/>
    </row>
    <row r="46" spans="1:11" s="37" customFormat="1" ht="15.75" customHeight="1" x14ac:dyDescent="0.25">
      <c r="A46" s="2" t="s">
        <v>289</v>
      </c>
      <c r="B46" s="3" t="s">
        <v>7</v>
      </c>
      <c r="C46" s="4" t="s">
        <v>20</v>
      </c>
      <c r="D46" s="45" t="s">
        <v>248</v>
      </c>
      <c r="E46" s="181"/>
      <c r="F46" s="46"/>
      <c r="G46" s="47"/>
      <c r="H46" s="239" t="s">
        <v>145</v>
      </c>
      <c r="I46" s="194">
        <f>15*1.39</f>
        <v>20.849999999999998</v>
      </c>
      <c r="J46" s="195">
        <f>I46*$J$108</f>
        <v>371.13</v>
      </c>
      <c r="K46" s="335"/>
    </row>
    <row r="47" spans="1:11" x14ac:dyDescent="0.25">
      <c r="A47" s="8"/>
      <c r="B47" s="9"/>
      <c r="C47" s="344">
        <f>SUM(F41:F46)</f>
        <v>83</v>
      </c>
      <c r="D47" s="185" t="s">
        <v>248</v>
      </c>
      <c r="E47" s="221" t="s">
        <v>249</v>
      </c>
      <c r="F47" s="203">
        <v>157</v>
      </c>
      <c r="G47" s="187" t="s">
        <v>250</v>
      </c>
      <c r="H47" s="253" t="s">
        <v>266</v>
      </c>
      <c r="I47" s="254">
        <v>0</v>
      </c>
      <c r="J47" s="255">
        <v>0</v>
      </c>
    </row>
    <row r="48" spans="1:11" x14ac:dyDescent="0.25">
      <c r="A48" s="2"/>
      <c r="B48" s="3"/>
      <c r="C48" s="343">
        <f>SUM(F47:F48)</f>
        <v>157</v>
      </c>
      <c r="D48" s="256" t="s">
        <v>253</v>
      </c>
      <c r="E48" s="189"/>
      <c r="F48" s="209"/>
      <c r="G48" s="190"/>
      <c r="H48" s="251" t="s">
        <v>160</v>
      </c>
      <c r="I48" s="257">
        <f>15*1.77</f>
        <v>26.55</v>
      </c>
      <c r="J48" s="212">
        <f>I48*$J$108</f>
        <v>472.59000000000003</v>
      </c>
    </row>
    <row r="49" spans="1:11" ht="15.75" customHeight="1" x14ac:dyDescent="0.25">
      <c r="A49" s="2"/>
      <c r="B49" s="3"/>
      <c r="C49" s="4"/>
      <c r="D49" s="218"/>
      <c r="E49" s="258" t="s">
        <v>24</v>
      </c>
      <c r="F49" s="183">
        <v>329</v>
      </c>
      <c r="G49" s="228" t="s">
        <v>254</v>
      </c>
      <c r="H49" s="239" t="s">
        <v>113</v>
      </c>
      <c r="I49" s="200">
        <f>3*25</f>
        <v>75</v>
      </c>
      <c r="J49" s="201">
        <f>I49*$J$108</f>
        <v>1335</v>
      </c>
    </row>
    <row r="50" spans="1:11" ht="15.75" customHeight="1" x14ac:dyDescent="0.25">
      <c r="A50" s="2" t="s">
        <v>290</v>
      </c>
      <c r="B50" s="3" t="s">
        <v>8</v>
      </c>
      <c r="C50" s="4" t="s">
        <v>22</v>
      </c>
      <c r="D50" s="218"/>
      <c r="E50" s="259"/>
      <c r="F50" s="183" t="s">
        <v>119</v>
      </c>
      <c r="G50" s="228" t="s">
        <v>124</v>
      </c>
      <c r="H50" s="260" t="s">
        <v>118</v>
      </c>
      <c r="I50" s="198"/>
      <c r="J50" s="199"/>
    </row>
    <row r="51" spans="1:11" ht="15.75" customHeight="1" x14ac:dyDescent="0.25">
      <c r="A51" s="2"/>
      <c r="B51" s="3"/>
      <c r="C51" s="4"/>
      <c r="D51" s="218" t="s">
        <v>24</v>
      </c>
      <c r="E51" s="219" t="s">
        <v>125</v>
      </c>
      <c r="F51" s="183">
        <v>59</v>
      </c>
      <c r="G51" s="228" t="s">
        <v>126</v>
      </c>
      <c r="H51" s="260" t="s">
        <v>127</v>
      </c>
      <c r="I51" s="198"/>
      <c r="J51" s="199"/>
    </row>
    <row r="52" spans="1:11" x14ac:dyDescent="0.25">
      <c r="A52" s="350" t="s">
        <v>310</v>
      </c>
      <c r="B52" s="318"/>
      <c r="C52" s="35"/>
      <c r="D52" s="235" t="s">
        <v>125</v>
      </c>
      <c r="E52" s="236" t="s">
        <v>312</v>
      </c>
      <c r="F52" s="172">
        <v>25</v>
      </c>
      <c r="G52" s="237" t="s">
        <v>129</v>
      </c>
      <c r="H52" s="261" t="s">
        <v>46</v>
      </c>
      <c r="I52" s="231">
        <f>40+19</f>
        <v>59</v>
      </c>
      <c r="J52" s="223">
        <f>I52*$J$108</f>
        <v>1050.2</v>
      </c>
    </row>
    <row r="53" spans="1:11" x14ac:dyDescent="0.25">
      <c r="A53" s="65"/>
      <c r="B53" s="66"/>
      <c r="C53" s="67"/>
      <c r="D53" s="174" t="s">
        <v>131</v>
      </c>
      <c r="E53" s="262" t="s">
        <v>130</v>
      </c>
      <c r="F53" s="179">
        <v>21</v>
      </c>
      <c r="G53" s="263" t="s">
        <v>132</v>
      </c>
      <c r="H53" s="264" t="s">
        <v>128</v>
      </c>
      <c r="I53" s="265"/>
      <c r="J53" s="266"/>
    </row>
    <row r="54" spans="1:11" x14ac:dyDescent="0.25">
      <c r="A54" s="68"/>
      <c r="B54" s="69"/>
      <c r="C54" s="70"/>
      <c r="D54" s="218" t="s">
        <v>130</v>
      </c>
      <c r="E54" s="219" t="s">
        <v>133</v>
      </c>
      <c r="F54" s="183" t="s">
        <v>134</v>
      </c>
      <c r="G54" s="228" t="s">
        <v>41</v>
      </c>
      <c r="H54" s="258" t="s">
        <v>135</v>
      </c>
      <c r="I54" s="198"/>
      <c r="J54" s="199"/>
    </row>
    <row r="55" spans="1:11" x14ac:dyDescent="0.25">
      <c r="A55" s="68"/>
      <c r="B55" s="69"/>
      <c r="C55" s="70"/>
      <c r="D55" s="218" t="s">
        <v>130</v>
      </c>
      <c r="E55" s="259" t="s">
        <v>130</v>
      </c>
      <c r="F55" s="183" t="s">
        <v>136</v>
      </c>
      <c r="G55" s="228" t="s">
        <v>48</v>
      </c>
      <c r="H55" s="260" t="s">
        <v>140</v>
      </c>
      <c r="I55" s="198"/>
      <c r="J55" s="199"/>
    </row>
    <row r="56" spans="1:11" ht="15.75" customHeight="1" x14ac:dyDescent="0.25">
      <c r="A56" s="68" t="s">
        <v>291</v>
      </c>
      <c r="B56" s="69" t="s">
        <v>9</v>
      </c>
      <c r="C56" s="70" t="s">
        <v>23</v>
      </c>
      <c r="D56" s="45" t="s">
        <v>130</v>
      </c>
      <c r="E56" s="181" t="s">
        <v>141</v>
      </c>
      <c r="F56" s="183">
        <v>26</v>
      </c>
      <c r="G56" s="228" t="s">
        <v>142</v>
      </c>
      <c r="H56" s="267" t="s">
        <v>108</v>
      </c>
      <c r="I56" s="194">
        <f>30*2.03</f>
        <v>60.899999999999991</v>
      </c>
      <c r="J56" s="201">
        <f>I56*$J$108</f>
        <v>1084.02</v>
      </c>
    </row>
    <row r="57" spans="1:11" ht="15.75" customHeight="1" x14ac:dyDescent="0.25">
      <c r="A57" s="68"/>
      <c r="B57" s="69"/>
      <c r="C57" s="345">
        <f>SUM(F49:F56)</f>
        <v>460</v>
      </c>
      <c r="D57" s="45" t="s">
        <v>137</v>
      </c>
      <c r="E57" s="181"/>
      <c r="F57" s="183"/>
      <c r="G57" s="228"/>
      <c r="H57" s="268" t="s">
        <v>143</v>
      </c>
      <c r="I57" s="46"/>
      <c r="J57" s="47"/>
    </row>
    <row r="58" spans="1:11" ht="15.75" customHeight="1" x14ac:dyDescent="0.25">
      <c r="A58" s="349" t="s">
        <v>302</v>
      </c>
      <c r="B58" s="316"/>
      <c r="C58" s="4"/>
      <c r="D58" s="45" t="s">
        <v>141</v>
      </c>
      <c r="E58" s="181" t="s">
        <v>110</v>
      </c>
      <c r="F58" s="46"/>
      <c r="G58" s="47" t="s">
        <v>197</v>
      </c>
      <c r="H58" s="269"/>
      <c r="I58" s="198"/>
      <c r="J58" s="199"/>
    </row>
    <row r="59" spans="1:11" ht="15.75" customHeight="1" x14ac:dyDescent="0.25">
      <c r="A59" s="2"/>
      <c r="B59" s="3"/>
      <c r="C59" s="4"/>
      <c r="D59" s="218" t="s">
        <v>109</v>
      </c>
      <c r="E59" s="258" t="s">
        <v>194</v>
      </c>
      <c r="F59" s="183"/>
      <c r="G59" s="184" t="s">
        <v>193</v>
      </c>
      <c r="H59" s="267" t="s">
        <v>204</v>
      </c>
      <c r="I59" s="200">
        <v>0</v>
      </c>
      <c r="J59" s="201">
        <f>I59*$J$108</f>
        <v>0</v>
      </c>
    </row>
    <row r="60" spans="1:11" ht="15.75" customHeight="1" thickBot="1" x14ac:dyDescent="0.3">
      <c r="A60" s="140"/>
      <c r="B60" s="141"/>
      <c r="C60" s="142"/>
      <c r="D60" s="270" t="s">
        <v>195</v>
      </c>
      <c r="E60" s="271" t="s">
        <v>205</v>
      </c>
      <c r="F60" s="272"/>
      <c r="G60" s="273"/>
      <c r="H60" s="274" t="s">
        <v>281</v>
      </c>
      <c r="I60" s="275">
        <v>72</v>
      </c>
      <c r="J60" s="276">
        <f>I60*$J$108</f>
        <v>1281.6000000000001</v>
      </c>
    </row>
    <row r="61" spans="1:11" s="39" customFormat="1" ht="9.75" customHeight="1" x14ac:dyDescent="0.25">
      <c r="K61" s="337"/>
    </row>
    <row r="62" spans="1:11" s="39" customFormat="1" x14ac:dyDescent="0.25">
      <c r="A62" s="78" t="s">
        <v>161</v>
      </c>
      <c r="K62" s="337"/>
    </row>
    <row r="63" spans="1:11" s="39" customFormat="1" ht="8.25" customHeight="1" thickBot="1" x14ac:dyDescent="0.3">
      <c r="A63" s="78"/>
      <c r="K63" s="337"/>
    </row>
    <row r="64" spans="1:11" s="39" customFormat="1" ht="16.5" thickBot="1" x14ac:dyDescent="0.3">
      <c r="A64" s="122" t="s">
        <v>151</v>
      </c>
      <c r="B64" s="134"/>
      <c r="C64" s="82" t="s">
        <v>156</v>
      </c>
      <c r="D64" s="111" t="s">
        <v>148</v>
      </c>
      <c r="E64" s="81" t="s">
        <v>157</v>
      </c>
      <c r="F64" s="125" t="s">
        <v>159</v>
      </c>
      <c r="G64" s="80" t="s">
        <v>146</v>
      </c>
      <c r="H64" s="81" t="s">
        <v>149</v>
      </c>
      <c r="I64" s="81" t="s">
        <v>158</v>
      </c>
      <c r="J64" s="109" t="s">
        <v>150</v>
      </c>
      <c r="K64" s="337"/>
    </row>
    <row r="65" spans="1:11" s="39" customFormat="1" x14ac:dyDescent="0.25">
      <c r="A65" s="110" t="s">
        <v>154</v>
      </c>
      <c r="B65" s="135"/>
      <c r="C65" s="28">
        <v>200</v>
      </c>
      <c r="D65" s="112">
        <f>C65*5.1/100</f>
        <v>10.199999999999999</v>
      </c>
      <c r="E65" s="106">
        <v>1.77</v>
      </c>
      <c r="F65" s="126">
        <f>E65*D65</f>
        <v>18.053999999999998</v>
      </c>
      <c r="G65" s="25">
        <f>$C$68-C65</f>
        <v>417</v>
      </c>
      <c r="H65" s="105">
        <f>G65*5.1/100</f>
        <v>21.266999999999999</v>
      </c>
      <c r="I65" s="107">
        <f>$E$68*H65</f>
        <v>43.172009999999993</v>
      </c>
      <c r="J65" s="108">
        <f>F65+I65</f>
        <v>61.226009999999988</v>
      </c>
      <c r="K65" s="337"/>
    </row>
    <row r="66" spans="1:11" s="39" customFormat="1" x14ac:dyDescent="0.25">
      <c r="A66" s="103" t="s">
        <v>152</v>
      </c>
      <c r="B66" s="136"/>
      <c r="C66" s="47">
        <v>256</v>
      </c>
      <c r="D66" s="113">
        <f>C66*5.1/100</f>
        <v>13.055999999999999</v>
      </c>
      <c r="E66" s="91">
        <v>1.83</v>
      </c>
      <c r="F66" s="127">
        <f>E66*D66</f>
        <v>23.892479999999999</v>
      </c>
      <c r="G66" s="89">
        <f>$C$68-C66</f>
        <v>361</v>
      </c>
      <c r="H66" s="90">
        <f>G66*5.1/100</f>
        <v>18.410999999999998</v>
      </c>
      <c r="I66" s="98">
        <f>$E$68*H66</f>
        <v>37.374329999999993</v>
      </c>
      <c r="J66" s="92">
        <f>F66+I66</f>
        <v>61.266809999999992</v>
      </c>
      <c r="K66" s="337"/>
    </row>
    <row r="67" spans="1:11" s="39" customFormat="1" x14ac:dyDescent="0.25">
      <c r="A67" s="103" t="s">
        <v>153</v>
      </c>
      <c r="B67" s="136"/>
      <c r="C67" s="47">
        <v>361</v>
      </c>
      <c r="D67" s="113">
        <f>C67*5.1/100</f>
        <v>18.410999999999998</v>
      </c>
      <c r="E67" s="91">
        <v>1.96</v>
      </c>
      <c r="F67" s="127">
        <f>E67*D67</f>
        <v>36.085559999999994</v>
      </c>
      <c r="G67" s="89">
        <f>$C$68-C67</f>
        <v>256</v>
      </c>
      <c r="H67" s="90">
        <f>G67*5.1/100</f>
        <v>13.055999999999999</v>
      </c>
      <c r="I67" s="98">
        <f>$E$68*H67</f>
        <v>26.503679999999996</v>
      </c>
      <c r="J67" s="92">
        <f>F67+I67</f>
        <v>62.58923999999999</v>
      </c>
      <c r="K67" s="337"/>
    </row>
    <row r="68" spans="1:11" s="39" customFormat="1" ht="16.5" thickBot="1" x14ac:dyDescent="0.3">
      <c r="A68" s="104" t="s">
        <v>155</v>
      </c>
      <c r="B68" s="137"/>
      <c r="C68" s="115">
        <f>SUM(F47:F56)</f>
        <v>617</v>
      </c>
      <c r="D68" s="114">
        <f>C68*5.1/100</f>
        <v>31.466999999999999</v>
      </c>
      <c r="E68" s="100">
        <v>2.0299999999999998</v>
      </c>
      <c r="F68" s="118"/>
      <c r="G68" s="94">
        <v>0</v>
      </c>
      <c r="H68" s="99">
        <v>31.5</v>
      </c>
      <c r="I68" s="101">
        <f>E68*D68</f>
        <v>63.878009999999989</v>
      </c>
      <c r="J68" s="97">
        <f>F68+I68</f>
        <v>63.878009999999989</v>
      </c>
      <c r="K68" s="337"/>
    </row>
    <row r="69" spans="1:11" s="39" customFormat="1" x14ac:dyDescent="0.25">
      <c r="A69" s="102" t="s">
        <v>58</v>
      </c>
      <c r="B69" s="119"/>
      <c r="C69" s="116">
        <v>0</v>
      </c>
      <c r="D69" s="84">
        <v>20</v>
      </c>
      <c r="E69" s="86">
        <v>1.39</v>
      </c>
      <c r="F69" s="128">
        <f>E69*D69</f>
        <v>27.799999999999997</v>
      </c>
      <c r="G69" s="130"/>
      <c r="H69" s="131" t="s">
        <v>184</v>
      </c>
      <c r="I69" s="120"/>
      <c r="J69" s="121">
        <f>F70+F69</f>
        <v>45.853999999999999</v>
      </c>
      <c r="K69" s="337"/>
    </row>
    <row r="70" spans="1:11" s="39" customFormat="1" ht="16.5" thickBot="1" x14ac:dyDescent="0.3">
      <c r="A70" s="93" t="s">
        <v>182</v>
      </c>
      <c r="B70" s="137"/>
      <c r="C70" s="115">
        <v>200</v>
      </c>
      <c r="D70" s="117">
        <f>C70*5.1/100</f>
        <v>10.199999999999999</v>
      </c>
      <c r="E70" s="96">
        <v>1.77</v>
      </c>
      <c r="F70" s="129">
        <f>E70*D70</f>
        <v>18.053999999999998</v>
      </c>
      <c r="G70" s="133"/>
      <c r="H70" s="132" t="s">
        <v>183</v>
      </c>
      <c r="I70" s="123"/>
      <c r="J70" s="124">
        <f>$J$108*(J65-J69)</f>
        <v>273.62177799999984</v>
      </c>
      <c r="K70" s="337"/>
    </row>
    <row r="71" spans="1:11" s="39" customFormat="1" x14ac:dyDescent="0.25">
      <c r="A71" s="78"/>
      <c r="C71" s="38"/>
      <c r="D71" s="328"/>
      <c r="E71" s="329"/>
      <c r="F71" s="330"/>
      <c r="G71" s="331"/>
      <c r="H71" s="332"/>
      <c r="I71" s="333"/>
      <c r="J71" s="334"/>
      <c r="K71" s="337"/>
    </row>
    <row r="72" spans="1:11" x14ac:dyDescent="0.25">
      <c r="A72" s="22" t="s">
        <v>265</v>
      </c>
      <c r="J72" s="143" t="s">
        <v>217</v>
      </c>
    </row>
    <row r="73" spans="1:11" ht="4.5" customHeight="1" thickBot="1" x14ac:dyDescent="0.3"/>
    <row r="74" spans="1:11" ht="33.75" customHeight="1" thickBot="1" x14ac:dyDescent="0.3">
      <c r="A74" s="14" t="s">
        <v>1</v>
      </c>
      <c r="B74" s="15" t="s">
        <v>4</v>
      </c>
      <c r="C74" s="339" t="s">
        <v>321</v>
      </c>
      <c r="D74" s="17" t="s">
        <v>0</v>
      </c>
      <c r="E74" s="15" t="s">
        <v>70</v>
      </c>
      <c r="F74" s="18" t="s">
        <v>252</v>
      </c>
      <c r="G74" s="19" t="s">
        <v>175</v>
      </c>
      <c r="H74" s="16" t="s">
        <v>71</v>
      </c>
      <c r="I74" s="23" t="s">
        <v>28</v>
      </c>
      <c r="J74" s="24" t="s">
        <v>29</v>
      </c>
    </row>
    <row r="75" spans="1:11" x14ac:dyDescent="0.25">
      <c r="A75" s="349" t="s">
        <v>302</v>
      </c>
      <c r="B75" s="316"/>
      <c r="C75" s="4"/>
      <c r="D75" s="283" t="s">
        <v>215</v>
      </c>
      <c r="E75" s="44" t="s">
        <v>198</v>
      </c>
      <c r="F75" s="27" t="s">
        <v>122</v>
      </c>
      <c r="G75" s="28" t="s">
        <v>210</v>
      </c>
      <c r="H75" s="284" t="s">
        <v>214</v>
      </c>
      <c r="I75" s="285">
        <v>354.2</v>
      </c>
      <c r="J75" s="43">
        <f t="shared" ref="J75:J80" si="0">I75*$J$108</f>
        <v>6304.76</v>
      </c>
    </row>
    <row r="76" spans="1:11" x14ac:dyDescent="0.25">
      <c r="A76" s="2"/>
      <c r="B76" s="3"/>
      <c r="C76" s="4"/>
      <c r="D76" s="45" t="s">
        <v>198</v>
      </c>
      <c r="E76" s="181" t="s">
        <v>50</v>
      </c>
      <c r="F76" s="46">
        <v>105</v>
      </c>
      <c r="G76" s="47" t="s">
        <v>211</v>
      </c>
      <c r="H76" s="267" t="s">
        <v>34</v>
      </c>
      <c r="I76" s="200">
        <v>8</v>
      </c>
      <c r="J76" s="201">
        <f t="shared" si="0"/>
        <v>142.4</v>
      </c>
    </row>
    <row r="77" spans="1:11" x14ac:dyDescent="0.25">
      <c r="A77" s="2" t="s">
        <v>292</v>
      </c>
      <c r="B77" s="69" t="s">
        <v>10</v>
      </c>
      <c r="C77" s="70" t="s">
        <v>61</v>
      </c>
      <c r="D77" s="62" t="s">
        <v>72</v>
      </c>
      <c r="E77" s="286" t="s">
        <v>47</v>
      </c>
      <c r="F77" s="46" t="s">
        <v>190</v>
      </c>
      <c r="G77" s="47" t="s">
        <v>48</v>
      </c>
      <c r="H77" s="267" t="s">
        <v>295</v>
      </c>
      <c r="I77" s="200">
        <f>40+10</f>
        <v>50</v>
      </c>
      <c r="J77" s="201">
        <f t="shared" si="0"/>
        <v>890</v>
      </c>
    </row>
    <row r="78" spans="1:11" x14ac:dyDescent="0.25">
      <c r="A78" s="349" t="s">
        <v>303</v>
      </c>
      <c r="B78" s="316"/>
      <c r="C78" s="345">
        <f>SUM(F75:F78)</f>
        <v>299</v>
      </c>
      <c r="D78" s="45" t="s">
        <v>33</v>
      </c>
      <c r="E78" s="181" t="s">
        <v>163</v>
      </c>
      <c r="F78" s="46">
        <v>194</v>
      </c>
      <c r="G78" s="47" t="s">
        <v>189</v>
      </c>
      <c r="H78" s="267" t="s">
        <v>162</v>
      </c>
      <c r="I78" s="194">
        <f>20*1.3</f>
        <v>26</v>
      </c>
      <c r="J78" s="201">
        <f t="shared" si="0"/>
        <v>462.8</v>
      </c>
    </row>
    <row r="79" spans="1:11" x14ac:dyDescent="0.25">
      <c r="A79" s="2"/>
      <c r="B79" s="316"/>
      <c r="C79" s="4"/>
      <c r="D79" s="45" t="s">
        <v>163</v>
      </c>
      <c r="E79" s="286" t="s">
        <v>79</v>
      </c>
      <c r="F79" s="46">
        <v>197</v>
      </c>
      <c r="G79" s="47" t="s">
        <v>189</v>
      </c>
      <c r="H79" s="267" t="s">
        <v>85</v>
      </c>
      <c r="I79" s="200">
        <f>3*8</f>
        <v>24</v>
      </c>
      <c r="J79" s="201">
        <f t="shared" si="0"/>
        <v>427.20000000000005</v>
      </c>
    </row>
    <row r="80" spans="1:11" x14ac:dyDescent="0.25">
      <c r="A80" s="349" t="s">
        <v>304</v>
      </c>
      <c r="B80" s="316"/>
      <c r="C80" s="4"/>
      <c r="D80" s="287" t="s">
        <v>40</v>
      </c>
      <c r="E80" s="288" t="s">
        <v>38</v>
      </c>
      <c r="F80" s="203" t="s">
        <v>122</v>
      </c>
      <c r="G80" s="187" t="s">
        <v>41</v>
      </c>
      <c r="H80" s="289" t="s">
        <v>38</v>
      </c>
      <c r="I80" s="231">
        <f>3*6</f>
        <v>18</v>
      </c>
      <c r="J80" s="223">
        <f t="shared" si="0"/>
        <v>320.40000000000003</v>
      </c>
    </row>
    <row r="81" spans="1:10" x14ac:dyDescent="0.25">
      <c r="A81" s="155" t="s">
        <v>293</v>
      </c>
      <c r="B81" s="156" t="s">
        <v>18</v>
      </c>
      <c r="C81" s="157" t="s">
        <v>62</v>
      </c>
      <c r="D81" s="158" t="s">
        <v>38</v>
      </c>
      <c r="E81" s="277" t="s">
        <v>39</v>
      </c>
      <c r="F81" s="278" t="s">
        <v>121</v>
      </c>
      <c r="G81" s="279" t="s">
        <v>35</v>
      </c>
      <c r="H81" s="280" t="s">
        <v>84</v>
      </c>
      <c r="I81" s="281"/>
      <c r="J81" s="282"/>
    </row>
    <row r="82" spans="1:10" x14ac:dyDescent="0.25">
      <c r="A82" s="349" t="s">
        <v>305</v>
      </c>
      <c r="B82" s="316"/>
      <c r="C82" s="4"/>
      <c r="D82" s="283" t="s">
        <v>39</v>
      </c>
      <c r="E82" s="26" t="s">
        <v>38</v>
      </c>
      <c r="F82" s="27" t="s">
        <v>120</v>
      </c>
      <c r="G82" s="28" t="s">
        <v>41</v>
      </c>
      <c r="H82" s="290"/>
      <c r="I82" s="27"/>
      <c r="J82" s="28"/>
    </row>
    <row r="83" spans="1:10" x14ac:dyDescent="0.25">
      <c r="A83" s="2" t="s">
        <v>294</v>
      </c>
      <c r="B83" s="3" t="s">
        <v>5</v>
      </c>
      <c r="C83" s="4" t="s">
        <v>63</v>
      </c>
      <c r="D83" s="45" t="s">
        <v>38</v>
      </c>
      <c r="E83" s="181" t="s">
        <v>38</v>
      </c>
      <c r="F83" s="46" t="s">
        <v>308</v>
      </c>
      <c r="G83" s="47" t="s">
        <v>309</v>
      </c>
      <c r="H83" s="292" t="s">
        <v>37</v>
      </c>
      <c r="I83" s="46"/>
      <c r="J83" s="47"/>
    </row>
    <row r="84" spans="1:10" x14ac:dyDescent="0.25">
      <c r="A84" s="8"/>
      <c r="B84" s="9"/>
      <c r="C84" s="344">
        <f>SUM(F79:F84)</f>
        <v>530</v>
      </c>
      <c r="D84" s="185" t="s">
        <v>79</v>
      </c>
      <c r="E84" s="186" t="s">
        <v>83</v>
      </c>
      <c r="F84" s="203">
        <v>333</v>
      </c>
      <c r="G84" s="187" t="s">
        <v>88</v>
      </c>
      <c r="H84" s="74" t="s">
        <v>166</v>
      </c>
      <c r="I84" s="222">
        <f>30*1.3</f>
        <v>39</v>
      </c>
      <c r="J84" s="223">
        <f>I84*$J$108</f>
        <v>694.2</v>
      </c>
    </row>
    <row r="85" spans="1:10" x14ac:dyDescent="0.25">
      <c r="A85" s="349" t="s">
        <v>334</v>
      </c>
      <c r="B85" s="66"/>
      <c r="C85" s="67"/>
      <c r="D85" s="188" t="s">
        <v>86</v>
      </c>
      <c r="E85" s="189" t="s">
        <v>87</v>
      </c>
      <c r="F85" s="209">
        <v>44</v>
      </c>
      <c r="G85" s="190" t="s">
        <v>90</v>
      </c>
      <c r="H85" s="291" t="s">
        <v>117</v>
      </c>
      <c r="I85" s="42">
        <f>40+10</f>
        <v>50</v>
      </c>
      <c r="J85" s="43">
        <f>I85*$J$108</f>
        <v>890</v>
      </c>
    </row>
    <row r="86" spans="1:10" x14ac:dyDescent="0.25">
      <c r="A86" s="2" t="s">
        <v>296</v>
      </c>
      <c r="B86" s="3" t="s">
        <v>6</v>
      </c>
      <c r="C86" s="4" t="s">
        <v>64</v>
      </c>
      <c r="D86" s="218" t="s">
        <v>89</v>
      </c>
      <c r="E86" s="196" t="s">
        <v>42</v>
      </c>
      <c r="F86" s="183">
        <v>154</v>
      </c>
      <c r="G86" s="184" t="s">
        <v>91</v>
      </c>
      <c r="H86" s="292" t="s">
        <v>43</v>
      </c>
      <c r="I86" s="198">
        <v>0</v>
      </c>
      <c r="J86" s="199">
        <v>0</v>
      </c>
    </row>
    <row r="87" spans="1:10" ht="15.75" customHeight="1" x14ac:dyDescent="0.25">
      <c r="A87" s="71"/>
      <c r="B87" s="72"/>
      <c r="C87" s="73"/>
      <c r="D87" s="185" t="s">
        <v>167</v>
      </c>
      <c r="E87" s="202" t="s">
        <v>44</v>
      </c>
      <c r="F87" s="172" t="s">
        <v>123</v>
      </c>
      <c r="G87" s="173" t="s">
        <v>45</v>
      </c>
      <c r="H87" s="293" t="s">
        <v>139</v>
      </c>
      <c r="I87" s="254">
        <f>3*6</f>
        <v>18</v>
      </c>
      <c r="J87" s="255">
        <f>I87*$J$108</f>
        <v>320.40000000000003</v>
      </c>
    </row>
    <row r="88" spans="1:10" ht="15.75" customHeight="1" x14ac:dyDescent="0.25">
      <c r="A88" s="349" t="s">
        <v>335</v>
      </c>
      <c r="B88" s="6"/>
      <c r="C88" s="346">
        <f>SUM(F85:F88)</f>
        <v>484</v>
      </c>
      <c r="D88" s="188" t="s">
        <v>42</v>
      </c>
      <c r="E88" s="189" t="s">
        <v>165</v>
      </c>
      <c r="F88" s="209">
        <v>286</v>
      </c>
      <c r="G88" s="190" t="s">
        <v>170</v>
      </c>
      <c r="H88" s="251" t="s">
        <v>166</v>
      </c>
      <c r="I88" s="257">
        <f>40*1.3</f>
        <v>52</v>
      </c>
      <c r="J88" s="212">
        <f>I88*$J$108</f>
        <v>925.6</v>
      </c>
    </row>
    <row r="89" spans="1:10" ht="15.75" customHeight="1" x14ac:dyDescent="0.25">
      <c r="A89" s="2" t="s">
        <v>297</v>
      </c>
      <c r="B89" s="3" t="s">
        <v>7</v>
      </c>
      <c r="C89" s="4" t="s">
        <v>65</v>
      </c>
      <c r="D89" s="45" t="s">
        <v>165</v>
      </c>
      <c r="E89" s="181" t="s">
        <v>168</v>
      </c>
      <c r="F89" s="46">
        <v>354</v>
      </c>
      <c r="G89" s="225" t="s">
        <v>171</v>
      </c>
      <c r="H89" s="267" t="s">
        <v>169</v>
      </c>
      <c r="I89" s="194">
        <f>30*1.15</f>
        <v>34.5</v>
      </c>
      <c r="J89" s="201">
        <f>I89*$J$108</f>
        <v>614.1</v>
      </c>
    </row>
    <row r="90" spans="1:10" ht="15.75" customHeight="1" x14ac:dyDescent="0.25">
      <c r="A90" s="354" t="s">
        <v>306</v>
      </c>
      <c r="B90" s="317"/>
      <c r="C90" s="344">
        <f>SUM(F89)</f>
        <v>354</v>
      </c>
      <c r="D90" s="185" t="s">
        <v>168</v>
      </c>
      <c r="E90" s="186" t="s">
        <v>173</v>
      </c>
      <c r="F90" s="203"/>
      <c r="G90" s="230"/>
      <c r="H90" s="294" t="s">
        <v>172</v>
      </c>
      <c r="I90" s="203"/>
      <c r="J90" s="187"/>
    </row>
    <row r="91" spans="1:10" x14ac:dyDescent="0.25">
      <c r="A91" s="5" t="s">
        <v>298</v>
      </c>
      <c r="B91" s="6" t="s">
        <v>8</v>
      </c>
      <c r="C91" s="7" t="s">
        <v>66</v>
      </c>
      <c r="D91" s="188" t="s">
        <v>168</v>
      </c>
      <c r="E91" s="295" t="s">
        <v>30</v>
      </c>
      <c r="F91" s="209">
        <v>334</v>
      </c>
      <c r="G91" s="190" t="s">
        <v>174</v>
      </c>
      <c r="H91" s="296" t="s">
        <v>177</v>
      </c>
      <c r="I91" s="297" t="s">
        <v>188</v>
      </c>
      <c r="J91" s="298"/>
    </row>
    <row r="92" spans="1:10" x14ac:dyDescent="0.25">
      <c r="A92" s="8"/>
      <c r="B92" s="9"/>
      <c r="C92" s="10"/>
      <c r="D92" s="185" t="s">
        <v>30</v>
      </c>
      <c r="E92" s="299" t="s">
        <v>31</v>
      </c>
      <c r="F92" s="203">
        <v>149</v>
      </c>
      <c r="G92" s="187" t="s">
        <v>32</v>
      </c>
      <c r="H92" s="294" t="s">
        <v>176</v>
      </c>
      <c r="I92" s="203"/>
      <c r="J92" s="187"/>
    </row>
    <row r="93" spans="1:10" x14ac:dyDescent="0.25">
      <c r="A93" s="349" t="s">
        <v>307</v>
      </c>
      <c r="B93" s="316"/>
      <c r="C93" s="343">
        <f>SUM(F91:F93)</f>
        <v>625</v>
      </c>
      <c r="D93" s="283" t="s">
        <v>31</v>
      </c>
      <c r="E93" s="26" t="s">
        <v>207</v>
      </c>
      <c r="F93" s="27">
        <v>142</v>
      </c>
      <c r="G93" s="28" t="s">
        <v>212</v>
      </c>
      <c r="H93" s="251" t="s">
        <v>200</v>
      </c>
      <c r="I93" s="285">
        <f>45*1.119</f>
        <v>50.354999999999997</v>
      </c>
      <c r="J93" s="43">
        <f>I93*$J$108</f>
        <v>896.31899999999996</v>
      </c>
    </row>
    <row r="94" spans="1:10" x14ac:dyDescent="0.25">
      <c r="A94" s="2" t="s">
        <v>299</v>
      </c>
      <c r="B94" s="3" t="s">
        <v>9</v>
      </c>
      <c r="C94" s="4" t="s">
        <v>67</v>
      </c>
      <c r="D94" s="45" t="s">
        <v>208</v>
      </c>
      <c r="E94" s="196" t="s">
        <v>198</v>
      </c>
      <c r="F94" s="46" t="s">
        <v>199</v>
      </c>
      <c r="G94" s="47"/>
      <c r="H94" s="267" t="s">
        <v>209</v>
      </c>
      <c r="I94" s="194">
        <v>4.5</v>
      </c>
      <c r="J94" s="201">
        <f>I94*$J$108</f>
        <v>80.100000000000009</v>
      </c>
    </row>
    <row r="95" spans="1:10" x14ac:dyDescent="0.25">
      <c r="A95" s="8"/>
      <c r="B95" s="9"/>
      <c r="C95" s="10"/>
      <c r="D95" s="185"/>
      <c r="E95" s="186"/>
      <c r="F95" s="203"/>
      <c r="G95" s="187"/>
      <c r="H95" s="300" t="s">
        <v>206</v>
      </c>
      <c r="I95" s="231">
        <v>72</v>
      </c>
      <c r="J95" s="223">
        <f>I95*$J$108</f>
        <v>1281.6000000000001</v>
      </c>
    </row>
    <row r="96" spans="1:10" x14ac:dyDescent="0.25">
      <c r="A96" s="2"/>
      <c r="B96" s="3"/>
      <c r="C96" s="4"/>
      <c r="D96" s="283" t="s">
        <v>114</v>
      </c>
      <c r="E96" s="26" t="s">
        <v>109</v>
      </c>
      <c r="F96" s="27"/>
      <c r="G96" s="28"/>
      <c r="H96" s="251" t="s">
        <v>213</v>
      </c>
      <c r="I96" s="211">
        <v>0</v>
      </c>
      <c r="J96" s="212">
        <f>I96*$J$108</f>
        <v>0</v>
      </c>
    </row>
    <row r="97" spans="1:10" x14ac:dyDescent="0.25">
      <c r="A97" s="2">
        <v>21</v>
      </c>
      <c r="B97" s="3" t="s">
        <v>10</v>
      </c>
      <c r="C97" s="4" t="s">
        <v>68</v>
      </c>
      <c r="D97" s="45" t="s">
        <v>109</v>
      </c>
      <c r="E97" s="181" t="s">
        <v>111</v>
      </c>
      <c r="F97" s="46"/>
      <c r="G97" s="47" t="s">
        <v>115</v>
      </c>
      <c r="H97" s="45"/>
      <c r="I97" s="46"/>
      <c r="J97" s="47"/>
    </row>
    <row r="98" spans="1:10" x14ac:dyDescent="0.25">
      <c r="A98" s="8"/>
      <c r="B98" s="9"/>
      <c r="C98" s="10"/>
      <c r="D98" s="185" t="s">
        <v>49</v>
      </c>
      <c r="E98" s="186" t="s">
        <v>112</v>
      </c>
      <c r="F98" s="203"/>
      <c r="G98" s="187" t="s">
        <v>191</v>
      </c>
      <c r="H98" s="301"/>
      <c r="I98" s="203"/>
      <c r="J98" s="187"/>
    </row>
    <row r="99" spans="1:10" ht="16.5" thickBot="1" x14ac:dyDescent="0.3">
      <c r="A99" s="11">
        <v>22</v>
      </c>
      <c r="B99" s="12" t="s">
        <v>18</v>
      </c>
      <c r="C99" s="13" t="s">
        <v>69</v>
      </c>
      <c r="D99" s="20" t="s">
        <v>112</v>
      </c>
      <c r="E99" s="12" t="s">
        <v>116</v>
      </c>
      <c r="F99" s="36"/>
      <c r="G99" s="21" t="s">
        <v>192</v>
      </c>
      <c r="H99" s="40"/>
      <c r="I99" s="36"/>
      <c r="J99" s="21"/>
    </row>
    <row r="100" spans="1:10" ht="7.5" customHeight="1" thickBot="1" x14ac:dyDescent="0.3"/>
    <row r="101" spans="1:10" ht="16.5" thickBot="1" x14ac:dyDescent="0.3">
      <c r="A101" s="79" t="s">
        <v>178</v>
      </c>
      <c r="B101" s="80" t="s">
        <v>164</v>
      </c>
      <c r="C101" s="81" t="s">
        <v>185</v>
      </c>
      <c r="D101" s="81" t="s">
        <v>147</v>
      </c>
      <c r="E101" s="82" t="s">
        <v>186</v>
      </c>
      <c r="G101" s="54" t="s">
        <v>201</v>
      </c>
      <c r="H101" s="55"/>
      <c r="I101" s="56">
        <f>SUM(I5:I34,I38:I60,I75:I99)</f>
        <v>2438.0050000000001</v>
      </c>
      <c r="J101" s="57">
        <f>SUM(J5:J34,J38:J60,J75:J99)</f>
        <v>43764.745000000003</v>
      </c>
    </row>
    <row r="102" spans="1:10" x14ac:dyDescent="0.25">
      <c r="A102" s="83" t="s">
        <v>163</v>
      </c>
      <c r="B102" s="84">
        <v>299</v>
      </c>
      <c r="C102" s="86">
        <v>1.3</v>
      </c>
      <c r="D102" s="85">
        <f>B102*6.7/100</f>
        <v>20.033000000000001</v>
      </c>
      <c r="E102" s="87">
        <f>D102*C102</f>
        <v>26.042900000000003</v>
      </c>
      <c r="G102" s="58" t="s">
        <v>74</v>
      </c>
      <c r="H102" s="59"/>
      <c r="I102" s="60">
        <f>J102/$J$108</f>
        <v>5557.3769662921341</v>
      </c>
      <c r="J102" s="61">
        <f>98307.12+614.19</f>
        <v>98921.31</v>
      </c>
    </row>
    <row r="103" spans="1:10" ht="16.5" thickBot="1" x14ac:dyDescent="0.3">
      <c r="A103" s="88" t="s">
        <v>165</v>
      </c>
      <c r="B103" s="89">
        <v>450</v>
      </c>
      <c r="C103" s="91">
        <v>1.3</v>
      </c>
      <c r="D103" s="90">
        <f>B103*6.7/100</f>
        <v>30.15</v>
      </c>
      <c r="E103" s="92">
        <f>D103*C103</f>
        <v>39.195</v>
      </c>
      <c r="G103" s="51" t="s">
        <v>76</v>
      </c>
      <c r="H103" s="52"/>
      <c r="I103" s="53">
        <f>SUM(I101:I102)</f>
        <v>7995.3819662921342</v>
      </c>
      <c r="J103" s="50">
        <f>SUM(J101:J102)</f>
        <v>142686.05499999999</v>
      </c>
    </row>
    <row r="104" spans="1:10" x14ac:dyDescent="0.25">
      <c r="A104" s="88" t="s">
        <v>165</v>
      </c>
      <c r="B104" s="89">
        <f>286+286</f>
        <v>572</v>
      </c>
      <c r="C104" s="91">
        <v>1.3</v>
      </c>
      <c r="D104" s="90">
        <f>B104*6.7/100</f>
        <v>38.323999999999998</v>
      </c>
      <c r="E104" s="92">
        <f>D104*C104</f>
        <v>49.821199999999997</v>
      </c>
      <c r="G104" s="54" t="s">
        <v>75</v>
      </c>
      <c r="H104" s="55"/>
      <c r="I104" s="56">
        <f>I101/3</f>
        <v>812.66833333333341</v>
      </c>
      <c r="J104" s="57">
        <f>J101/3</f>
        <v>14588.248333333335</v>
      </c>
    </row>
    <row r="105" spans="1:10" x14ac:dyDescent="0.25">
      <c r="A105" s="138" t="s">
        <v>168</v>
      </c>
      <c r="B105" s="89">
        <v>376</v>
      </c>
      <c r="C105" s="91">
        <v>1.1499999999999999</v>
      </c>
      <c r="D105" s="90">
        <f>B105*6.7/100</f>
        <v>25.192000000000004</v>
      </c>
      <c r="E105" s="92">
        <f>D105*C105</f>
        <v>28.970800000000001</v>
      </c>
      <c r="G105" s="74" t="s">
        <v>92</v>
      </c>
      <c r="H105" s="75"/>
      <c r="I105" s="76">
        <f>J105/$J$108</f>
        <v>1852.4589887640448</v>
      </c>
      <c r="J105" s="77">
        <f>J102/3</f>
        <v>32973.769999999997</v>
      </c>
    </row>
    <row r="106" spans="1:10" ht="16.5" thickBot="1" x14ac:dyDescent="0.3">
      <c r="A106" s="93" t="s">
        <v>187</v>
      </c>
      <c r="B106" s="94">
        <f>SUM(F91:F93)</f>
        <v>625</v>
      </c>
      <c r="C106" s="96">
        <v>1.1990000000000001</v>
      </c>
      <c r="D106" s="95">
        <f>B106*6.7/100</f>
        <v>41.875</v>
      </c>
      <c r="E106" s="97">
        <f>D106*C106</f>
        <v>50.208125000000003</v>
      </c>
      <c r="G106" s="51" t="s">
        <v>77</v>
      </c>
      <c r="H106" s="52"/>
      <c r="I106" s="53">
        <f>SUM(I104:I105)</f>
        <v>2665.1273220973781</v>
      </c>
      <c r="J106" s="50">
        <f>SUM(J104:J105)</f>
        <v>47562.018333333333</v>
      </c>
    </row>
    <row r="108" spans="1:10" x14ac:dyDescent="0.25">
      <c r="I108" s="48" t="s">
        <v>73</v>
      </c>
      <c r="J108" s="49">
        <v>17.8</v>
      </c>
    </row>
  </sheetData>
  <hyperlinks>
    <hyperlink ref="E28" r:id="rId1"/>
    <hyperlink ref="H52" r:id="rId2"/>
    <hyperlink ref="E12" r:id="rId3"/>
    <hyperlink ref="E38" r:id="rId4"/>
    <hyperlink ref="E24" r:id="rId5"/>
    <hyperlink ref="E92" r:id="rId6"/>
    <hyperlink ref="D80" r:id="rId7"/>
    <hyperlink ref="D77" r:id="rId8"/>
    <hyperlink ref="H81" r:id="rId9" display="Bread Knife &amp; top hills"/>
    <hyperlink ref="E81" r:id="rId10"/>
    <hyperlink ref="H83" r:id="rId11"/>
    <hyperlink ref="E87" r:id="rId12"/>
    <hyperlink ref="E91" r:id="rId13"/>
    <hyperlink ref="E86" r:id="rId14"/>
    <hyperlink ref="E49" r:id="rId15"/>
    <hyperlink ref="H54" r:id="rId16"/>
    <hyperlink ref="H86" r:id="rId17" location="Getting-there-and-parking"/>
    <hyperlink ref="H87" r:id="rId18" display="Dry Tank Campground"/>
    <hyperlink ref="E77" r:id="rId19"/>
    <hyperlink ref="I91" r:id="rId20"/>
    <hyperlink ref="H80" r:id="rId21"/>
    <hyperlink ref="E79" r:id="rId22"/>
    <hyperlink ref="E59" r:id="rId23"/>
    <hyperlink ref="E75" r:id="rId24"/>
    <hyperlink ref="E60" r:id="rId25"/>
    <hyperlink ref="E94" r:id="rId26"/>
    <hyperlink ref="E15" r:id="rId27"/>
    <hyperlink ref="D16" r:id="rId28"/>
    <hyperlink ref="H17" r:id="rId29" display="Lichfield National Park"/>
    <hyperlink ref="H29" r:id="rId30" location="-1"/>
    <hyperlink ref="E32" r:id="rId31"/>
    <hyperlink ref="E16" r:id="rId32"/>
  </hyperlinks>
  <pageMargins left="0.19685039370078741" right="0.19685039370078741" top="0.19685039370078741" bottom="0.19685039370078741" header="0.31496062992125984" footer="0.31496062992125984"/>
  <pageSetup paperSize="9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zoomScaleNormal="100" workbookViewId="0"/>
  </sheetViews>
  <sheetFormatPr defaultRowHeight="15.75" x14ac:dyDescent="0.25"/>
  <cols>
    <col min="1" max="1" width="8.5703125" style="1" customWidth="1"/>
    <col min="2" max="2" width="8.140625" style="1" customWidth="1"/>
    <col min="3" max="3" width="6" style="1" customWidth="1"/>
    <col min="4" max="4" width="22" style="1" customWidth="1"/>
    <col min="5" max="5" width="27" style="1" customWidth="1"/>
    <col min="6" max="6" width="9.85546875" style="1" customWidth="1"/>
    <col min="7" max="7" width="12.28515625" style="1" customWidth="1"/>
    <col min="8" max="8" width="31.140625" style="1" customWidth="1"/>
    <col min="9" max="9" width="7.42578125" style="1" customWidth="1"/>
    <col min="10" max="10" width="11.5703125" style="1" customWidth="1"/>
    <col min="11" max="11" width="13.5703125" style="335" bestFit="1" customWidth="1"/>
    <col min="12" max="16384" width="9.140625" style="1"/>
  </cols>
  <sheetData>
    <row r="1" spans="1:16" x14ac:dyDescent="0.25">
      <c r="A1" s="22" t="s">
        <v>534</v>
      </c>
      <c r="J1" s="143" t="s">
        <v>406</v>
      </c>
    </row>
    <row r="2" spans="1:16" ht="5.25" customHeight="1" thickBot="1" x14ac:dyDescent="0.3">
      <c r="A2" s="38"/>
      <c r="B2" s="39"/>
      <c r="C2" s="39"/>
      <c r="D2" s="39"/>
      <c r="E2" s="41"/>
      <c r="F2" s="38"/>
      <c r="G2" s="38"/>
      <c r="H2" s="39"/>
      <c r="I2" s="38"/>
      <c r="J2" s="38"/>
    </row>
    <row r="3" spans="1:16" ht="33.75" customHeight="1" thickBot="1" x14ac:dyDescent="0.3">
      <c r="A3" s="14" t="s">
        <v>1</v>
      </c>
      <c r="B3" s="15" t="s">
        <v>478</v>
      </c>
      <c r="C3" s="339" t="s">
        <v>477</v>
      </c>
      <c r="D3" s="17" t="s">
        <v>0</v>
      </c>
      <c r="E3" s="15" t="s">
        <v>70</v>
      </c>
      <c r="F3" s="18" t="s">
        <v>252</v>
      </c>
      <c r="G3" s="19" t="s">
        <v>175</v>
      </c>
      <c r="H3" s="16" t="s">
        <v>71</v>
      </c>
      <c r="I3" s="23" t="s">
        <v>28</v>
      </c>
      <c r="J3" s="24" t="s">
        <v>29</v>
      </c>
    </row>
    <row r="4" spans="1:16" x14ac:dyDescent="0.25">
      <c r="A4" s="33">
        <v>0</v>
      </c>
      <c r="B4" s="318" t="s">
        <v>10</v>
      </c>
      <c r="C4" s="368" t="s">
        <v>94</v>
      </c>
      <c r="D4" s="151" t="s">
        <v>341</v>
      </c>
      <c r="E4" s="168"/>
      <c r="F4" s="169"/>
      <c r="G4" s="170"/>
      <c r="H4" s="171" t="s">
        <v>218</v>
      </c>
      <c r="I4" s="172"/>
      <c r="J4" s="173"/>
    </row>
    <row r="5" spans="1:16" ht="15.75" customHeight="1" x14ac:dyDescent="0.25">
      <c r="A5" s="65"/>
      <c r="B5" s="66"/>
      <c r="C5" s="67"/>
      <c r="D5" s="174" t="s">
        <v>219</v>
      </c>
      <c r="E5" s="175"/>
      <c r="F5" s="176"/>
      <c r="G5" s="177"/>
      <c r="H5" s="178" t="s">
        <v>180</v>
      </c>
      <c r="I5" s="179"/>
      <c r="J5" s="180"/>
    </row>
    <row r="6" spans="1:16" x14ac:dyDescent="0.25">
      <c r="A6" s="348">
        <v>1</v>
      </c>
      <c r="B6" s="347" t="s">
        <v>18</v>
      </c>
      <c r="C6" s="360" t="s">
        <v>93</v>
      </c>
      <c r="D6" s="45" t="s">
        <v>181</v>
      </c>
      <c r="E6" s="181" t="s">
        <v>95</v>
      </c>
      <c r="F6" s="181"/>
      <c r="G6" s="47" t="s">
        <v>97</v>
      </c>
      <c r="H6" s="229" t="s">
        <v>376</v>
      </c>
      <c r="I6" s="573"/>
      <c r="J6" s="195">
        <v>633</v>
      </c>
    </row>
    <row r="7" spans="1:16" x14ac:dyDescent="0.25">
      <c r="A7" s="33"/>
      <c r="B7" s="34"/>
      <c r="C7" s="35"/>
      <c r="D7" s="185" t="s">
        <v>95</v>
      </c>
      <c r="E7" s="186" t="s">
        <v>96</v>
      </c>
      <c r="F7" s="186"/>
      <c r="G7" s="187" t="s">
        <v>98</v>
      </c>
      <c r="H7" s="171"/>
      <c r="I7" s="172"/>
      <c r="J7" s="173"/>
      <c r="O7" s="150"/>
      <c r="P7" s="150"/>
    </row>
    <row r="8" spans="1:16" x14ac:dyDescent="0.25">
      <c r="A8" s="65"/>
      <c r="B8" s="66"/>
      <c r="C8" s="67"/>
      <c r="D8" s="188" t="s">
        <v>95</v>
      </c>
      <c r="E8" s="189" t="s">
        <v>49</v>
      </c>
      <c r="F8" s="189"/>
      <c r="G8" s="190" t="s">
        <v>99</v>
      </c>
      <c r="H8" s="191"/>
      <c r="I8" s="179"/>
      <c r="J8" s="180"/>
      <c r="O8" s="150"/>
      <c r="P8" s="150"/>
    </row>
    <row r="9" spans="1:16" x14ac:dyDescent="0.25">
      <c r="A9" s="68"/>
      <c r="B9" s="69"/>
      <c r="C9" s="70"/>
      <c r="D9" s="45" t="s">
        <v>49</v>
      </c>
      <c r="E9" s="181" t="s">
        <v>51</v>
      </c>
      <c r="F9" s="181"/>
      <c r="G9" s="47" t="s">
        <v>100</v>
      </c>
      <c r="H9" s="267" t="s">
        <v>352</v>
      </c>
      <c r="I9" s="194">
        <f>460.9+285.13</f>
        <v>746.03</v>
      </c>
      <c r="J9" s="195">
        <f>8324.82+5322.79</f>
        <v>13647.61</v>
      </c>
      <c r="O9" s="150"/>
      <c r="P9" s="150"/>
    </row>
    <row r="10" spans="1:16" ht="15.75" customHeight="1" x14ac:dyDescent="0.25">
      <c r="A10" s="348" t="s">
        <v>268</v>
      </c>
      <c r="B10" s="347" t="s">
        <v>5</v>
      </c>
      <c r="C10" s="360" t="s">
        <v>11</v>
      </c>
      <c r="D10" s="45" t="s">
        <v>82</v>
      </c>
      <c r="E10" s="213" t="s">
        <v>338</v>
      </c>
      <c r="F10" s="420">
        <v>11.4</v>
      </c>
      <c r="G10" s="47" t="s">
        <v>129</v>
      </c>
      <c r="H10" s="197" t="s">
        <v>102</v>
      </c>
      <c r="I10" s="198"/>
      <c r="J10" s="199"/>
    </row>
    <row r="11" spans="1:16" x14ac:dyDescent="0.25">
      <c r="A11" s="403">
        <v>43721</v>
      </c>
      <c r="B11" s="69" t="s">
        <v>342</v>
      </c>
      <c r="C11" s="70"/>
      <c r="D11" s="45" t="s">
        <v>338</v>
      </c>
      <c r="E11" s="213" t="s">
        <v>272</v>
      </c>
      <c r="F11" s="420">
        <v>2.2000000000000002</v>
      </c>
      <c r="G11" s="47" t="s">
        <v>223</v>
      </c>
      <c r="H11" s="193" t="s">
        <v>273</v>
      </c>
      <c r="I11" s="200">
        <v>103.69</v>
      </c>
      <c r="J11" s="201">
        <v>1942.64</v>
      </c>
    </row>
    <row r="12" spans="1:16" x14ac:dyDescent="0.25">
      <c r="A12" s="68"/>
      <c r="B12" s="69"/>
      <c r="C12" s="70"/>
      <c r="D12" s="304" t="s">
        <v>272</v>
      </c>
      <c r="E12" s="307" t="s">
        <v>274</v>
      </c>
      <c r="F12" s="421">
        <v>1.6</v>
      </c>
      <c r="G12" s="47" t="s">
        <v>223</v>
      </c>
      <c r="H12" s="358" t="s">
        <v>340</v>
      </c>
      <c r="I12" s="359"/>
      <c r="J12" s="64"/>
    </row>
    <row r="13" spans="1:16" ht="31.5" x14ac:dyDescent="0.25">
      <c r="A13" s="400">
        <v>43801</v>
      </c>
      <c r="B13" s="457">
        <f>A13-A11</f>
        <v>80</v>
      </c>
      <c r="C13" s="369" t="s">
        <v>342</v>
      </c>
      <c r="D13" s="235" t="s">
        <v>274</v>
      </c>
      <c r="E13" s="202" t="s">
        <v>222</v>
      </c>
      <c r="F13" s="455">
        <v>62.3</v>
      </c>
      <c r="G13" s="170" t="s">
        <v>476</v>
      </c>
      <c r="H13" s="456" t="s">
        <v>350</v>
      </c>
      <c r="I13" s="407" t="s">
        <v>221</v>
      </c>
      <c r="J13" s="206"/>
    </row>
    <row r="14" spans="1:16" s="335" customFormat="1" x14ac:dyDescent="0.25">
      <c r="A14" s="396">
        <v>43801</v>
      </c>
      <c r="B14" s="66" t="s">
        <v>342</v>
      </c>
      <c r="C14" s="67"/>
      <c r="D14" s="207" t="s">
        <v>222</v>
      </c>
      <c r="E14" s="208" t="s">
        <v>224</v>
      </c>
      <c r="F14" s="209">
        <v>3.9</v>
      </c>
      <c r="G14" s="190" t="s">
        <v>410</v>
      </c>
      <c r="H14" s="210" t="s">
        <v>402</v>
      </c>
      <c r="I14" s="211">
        <f>3*40</f>
        <v>120</v>
      </c>
      <c r="J14" s="212">
        <v>2248.42</v>
      </c>
    </row>
    <row r="15" spans="1:16" s="335" customFormat="1" x14ac:dyDescent="0.25">
      <c r="A15" s="348"/>
      <c r="B15" s="69"/>
      <c r="C15" s="70"/>
      <c r="D15" s="45" t="s">
        <v>343</v>
      </c>
      <c r="E15" s="44" t="s">
        <v>401</v>
      </c>
      <c r="F15" s="27">
        <v>49</v>
      </c>
      <c r="G15" s="28" t="s">
        <v>41</v>
      </c>
      <c r="H15" s="243" t="s">
        <v>301</v>
      </c>
      <c r="I15" s="308">
        <v>16.989999999999998</v>
      </c>
      <c r="J15" s="201">
        <v>318.45</v>
      </c>
    </row>
    <row r="16" spans="1:16" s="335" customFormat="1" x14ac:dyDescent="0.25">
      <c r="A16" s="68"/>
      <c r="B16" s="69"/>
      <c r="C16" s="70"/>
      <c r="D16" s="45"/>
      <c r="E16" s="181"/>
      <c r="F16" s="27"/>
      <c r="G16" s="28"/>
      <c r="H16" s="239" t="s">
        <v>377</v>
      </c>
      <c r="I16" s="308">
        <v>18.989999999999998</v>
      </c>
      <c r="J16" s="201">
        <v>355.64</v>
      </c>
    </row>
    <row r="17" spans="1:11" x14ac:dyDescent="0.25">
      <c r="A17" s="349" t="s">
        <v>269</v>
      </c>
      <c r="B17" s="404" t="s">
        <v>6</v>
      </c>
      <c r="C17" s="405" t="s">
        <v>12</v>
      </c>
      <c r="D17" s="45" t="s">
        <v>339</v>
      </c>
      <c r="E17" s="44" t="s">
        <v>420</v>
      </c>
      <c r="F17" s="46">
        <v>157</v>
      </c>
      <c r="G17" s="47" t="s">
        <v>411</v>
      </c>
      <c r="H17" s="471" t="s">
        <v>414</v>
      </c>
      <c r="I17" s="469"/>
      <c r="J17" s="470"/>
    </row>
    <row r="18" spans="1:11" x14ac:dyDescent="0.25">
      <c r="A18" s="68"/>
      <c r="B18" s="3"/>
      <c r="C18" s="4"/>
      <c r="D18" s="467" t="s">
        <v>227</v>
      </c>
      <c r="E18" s="468" t="s">
        <v>233</v>
      </c>
      <c r="F18" s="469" t="s">
        <v>412</v>
      </c>
      <c r="G18" s="470" t="s">
        <v>413</v>
      </c>
      <c r="H18" s="471" t="s">
        <v>415</v>
      </c>
      <c r="I18" s="469"/>
      <c r="J18" s="470"/>
    </row>
    <row r="19" spans="1:11" x14ac:dyDescent="0.25">
      <c r="A19" s="398">
        <f>A14+4+50+157+12+20</f>
        <v>44044</v>
      </c>
      <c r="B19" s="572">
        <f>A19-A14</f>
        <v>243</v>
      </c>
      <c r="C19" s="405" t="s">
        <v>342</v>
      </c>
      <c r="D19" s="185" t="s">
        <v>233</v>
      </c>
      <c r="E19" s="221" t="s">
        <v>529</v>
      </c>
      <c r="F19" s="203">
        <v>20</v>
      </c>
      <c r="G19" s="187" t="s">
        <v>235</v>
      </c>
      <c r="H19" s="74" t="s">
        <v>104</v>
      </c>
      <c r="I19" s="222">
        <f>20</f>
        <v>20</v>
      </c>
      <c r="J19" s="223">
        <f>I19*$E$127</f>
        <v>371.2</v>
      </c>
    </row>
    <row r="20" spans="1:11" x14ac:dyDescent="0.25">
      <c r="A20" s="399">
        <v>44044</v>
      </c>
      <c r="B20" s="6" t="s">
        <v>342</v>
      </c>
      <c r="C20" s="7"/>
      <c r="D20" s="472" t="s">
        <v>529</v>
      </c>
      <c r="E20" s="473" t="s">
        <v>421</v>
      </c>
      <c r="F20" s="474"/>
      <c r="G20" s="475"/>
      <c r="H20" s="476" t="s">
        <v>531</v>
      </c>
      <c r="I20" s="477"/>
      <c r="J20" s="478"/>
    </row>
    <row r="21" spans="1:11" x14ac:dyDescent="0.25">
      <c r="A21" s="2"/>
      <c r="B21" s="3"/>
      <c r="C21" s="4"/>
      <c r="D21" s="479" t="s">
        <v>239</v>
      </c>
      <c r="E21" s="480" t="s">
        <v>238</v>
      </c>
      <c r="F21" s="469" t="s">
        <v>190</v>
      </c>
      <c r="G21" s="470" t="s">
        <v>416</v>
      </c>
      <c r="H21" s="481" t="s">
        <v>530</v>
      </c>
      <c r="I21" s="482"/>
      <c r="J21" s="483"/>
    </row>
    <row r="22" spans="1:11" x14ac:dyDescent="0.25">
      <c r="A22" s="349" t="s">
        <v>270</v>
      </c>
      <c r="B22" s="316" t="s">
        <v>7</v>
      </c>
      <c r="C22" s="365" t="s">
        <v>13</v>
      </c>
      <c r="D22" s="45" t="s">
        <v>529</v>
      </c>
      <c r="E22" s="44" t="s">
        <v>241</v>
      </c>
      <c r="F22" s="420">
        <v>10.7</v>
      </c>
      <c r="G22" s="428" t="s">
        <v>101</v>
      </c>
      <c r="H22" s="471" t="s">
        <v>431</v>
      </c>
      <c r="I22" s="482"/>
      <c r="J22" s="483"/>
    </row>
    <row r="23" spans="1:11" x14ac:dyDescent="0.25">
      <c r="A23" s="2"/>
      <c r="B23" s="347"/>
      <c r="C23" s="4"/>
      <c r="D23" s="45" t="s">
        <v>241</v>
      </c>
      <c r="E23" s="213" t="s">
        <v>422</v>
      </c>
      <c r="F23" s="420">
        <v>206</v>
      </c>
      <c r="G23" s="423" t="s">
        <v>424</v>
      </c>
      <c r="H23" s="383" t="s">
        <v>423</v>
      </c>
      <c r="I23" s="222">
        <f>5.15+2.15</f>
        <v>7.3000000000000007</v>
      </c>
      <c r="J23" s="223">
        <f>96.4+4.22</f>
        <v>100.62</v>
      </c>
    </row>
    <row r="24" spans="1:11" x14ac:dyDescent="0.25">
      <c r="A24" s="2"/>
      <c r="B24" s="347"/>
      <c r="C24" s="4"/>
      <c r="D24" s="304" t="s">
        <v>422</v>
      </c>
      <c r="E24" s="213" t="s">
        <v>106</v>
      </c>
      <c r="F24" s="421">
        <v>90.3</v>
      </c>
      <c r="G24" s="427" t="s">
        <v>425</v>
      </c>
      <c r="H24" s="227" t="s">
        <v>379</v>
      </c>
      <c r="I24" s="194">
        <v>37.11</v>
      </c>
      <c r="J24" s="201">
        <v>695.3</v>
      </c>
    </row>
    <row r="25" spans="1:11" x14ac:dyDescent="0.25">
      <c r="A25" s="400">
        <v>44377</v>
      </c>
      <c r="B25" s="459">
        <f>A25-A20</f>
        <v>333</v>
      </c>
      <c r="C25" s="460" t="s">
        <v>342</v>
      </c>
      <c r="D25" s="185" t="s">
        <v>106</v>
      </c>
      <c r="E25" s="202" t="s">
        <v>346</v>
      </c>
      <c r="F25" s="422">
        <v>30.3</v>
      </c>
      <c r="G25" s="429" t="s">
        <v>426</v>
      </c>
      <c r="H25" s="74" t="s">
        <v>347</v>
      </c>
      <c r="I25" s="222">
        <v>43.5</v>
      </c>
      <c r="J25" s="223">
        <v>814.85</v>
      </c>
    </row>
    <row r="26" spans="1:11" x14ac:dyDescent="0.25">
      <c r="A26" s="29"/>
      <c r="B26" s="30"/>
      <c r="C26" s="31"/>
      <c r="D26" s="472" t="s">
        <v>346</v>
      </c>
      <c r="E26" s="485" t="s">
        <v>349</v>
      </c>
      <c r="F26" s="474" t="s">
        <v>427</v>
      </c>
      <c r="G26" s="475" t="s">
        <v>428</v>
      </c>
      <c r="H26" s="472" t="s">
        <v>348</v>
      </c>
      <c r="I26" s="474"/>
      <c r="J26" s="475"/>
    </row>
    <row r="27" spans="1:11" x14ac:dyDescent="0.25">
      <c r="A27" s="349" t="s">
        <v>271</v>
      </c>
      <c r="B27" s="316" t="s">
        <v>8</v>
      </c>
      <c r="C27" s="365" t="s">
        <v>14</v>
      </c>
      <c r="D27" s="45" t="s">
        <v>346</v>
      </c>
      <c r="E27" s="213" t="s">
        <v>106</v>
      </c>
      <c r="F27" s="420">
        <v>30.4</v>
      </c>
      <c r="G27" s="423" t="s">
        <v>429</v>
      </c>
      <c r="H27" s="229" t="s">
        <v>179</v>
      </c>
      <c r="I27" s="200">
        <v>67.819999999999993</v>
      </c>
      <c r="J27" s="201">
        <v>1272.4100000000001</v>
      </c>
    </row>
    <row r="28" spans="1:11" x14ac:dyDescent="0.25">
      <c r="A28" s="397">
        <v>44539</v>
      </c>
      <c r="B28" s="404">
        <f>A28-A25</f>
        <v>162</v>
      </c>
      <c r="C28" s="405" t="s">
        <v>342</v>
      </c>
      <c r="D28" s="218" t="s">
        <v>106</v>
      </c>
      <c r="E28" s="202" t="s">
        <v>280</v>
      </c>
      <c r="F28" s="183">
        <v>132</v>
      </c>
      <c r="G28" s="228" t="s">
        <v>430</v>
      </c>
      <c r="H28" s="74" t="s">
        <v>418</v>
      </c>
      <c r="I28" s="231">
        <v>27</v>
      </c>
      <c r="J28" s="223">
        <f>I28*$E$127</f>
        <v>501.11999999999995</v>
      </c>
    </row>
    <row r="29" spans="1:11" s="37" customFormat="1" ht="15.75" customHeight="1" x14ac:dyDescent="0.25">
      <c r="A29" s="396">
        <v>44539</v>
      </c>
      <c r="B29" s="66"/>
      <c r="C29" s="67"/>
      <c r="D29" s="486" t="s">
        <v>280</v>
      </c>
      <c r="E29" s="487" t="s">
        <v>277</v>
      </c>
      <c r="F29" s="477" t="s">
        <v>259</v>
      </c>
      <c r="G29" s="488" t="s">
        <v>432</v>
      </c>
      <c r="H29" s="489" t="s">
        <v>278</v>
      </c>
      <c r="I29" s="490"/>
      <c r="J29" s="491"/>
      <c r="K29" s="336"/>
    </row>
    <row r="30" spans="1:11" s="37" customFormat="1" ht="15.75" customHeight="1" x14ac:dyDescent="0.25">
      <c r="A30" s="68"/>
      <c r="B30" s="69"/>
      <c r="C30" s="70"/>
      <c r="D30" s="218" t="s">
        <v>280</v>
      </c>
      <c r="E30" s="44" t="s">
        <v>434</v>
      </c>
      <c r="F30" s="432">
        <v>22.2</v>
      </c>
      <c r="G30" s="433" t="s">
        <v>433</v>
      </c>
      <c r="H30" s="361"/>
      <c r="I30" s="63"/>
      <c r="J30" s="64"/>
      <c r="K30" s="336"/>
    </row>
    <row r="31" spans="1:11" s="37" customFormat="1" ht="15.75" customHeight="1" x14ac:dyDescent="0.25">
      <c r="A31" s="348" t="s">
        <v>282</v>
      </c>
      <c r="B31" s="347" t="s">
        <v>9</v>
      </c>
      <c r="C31" s="360" t="s">
        <v>15</v>
      </c>
      <c r="D31" s="492" t="s">
        <v>435</v>
      </c>
      <c r="E31" s="493" t="s">
        <v>436</v>
      </c>
      <c r="F31" s="494" t="s">
        <v>437</v>
      </c>
      <c r="G31" s="495" t="s">
        <v>438</v>
      </c>
      <c r="H31" s="481" t="s">
        <v>419</v>
      </c>
      <c r="I31" s="482"/>
      <c r="J31" s="483"/>
      <c r="K31" s="336"/>
    </row>
    <row r="32" spans="1:11" s="37" customFormat="1" ht="15.75" customHeight="1" x14ac:dyDescent="0.25">
      <c r="A32" s="68"/>
      <c r="B32" s="69"/>
      <c r="C32" s="70"/>
      <c r="D32" s="218" t="s">
        <v>434</v>
      </c>
      <c r="E32" s="319" t="s">
        <v>351</v>
      </c>
      <c r="F32" s="432">
        <v>171</v>
      </c>
      <c r="G32" s="433" t="s">
        <v>211</v>
      </c>
      <c r="H32" s="227" t="s">
        <v>439</v>
      </c>
      <c r="I32" s="200">
        <v>30.44</v>
      </c>
      <c r="J32" s="201">
        <v>566.08000000000004</v>
      </c>
      <c r="K32" s="336"/>
    </row>
    <row r="33" spans="1:11" s="37" customFormat="1" ht="15.75" customHeight="1" thickBot="1" x14ac:dyDescent="0.3">
      <c r="A33" s="425">
        <v>44854</v>
      </c>
      <c r="B33" s="463">
        <f>A33-A29</f>
        <v>315</v>
      </c>
      <c r="C33" s="464" t="s">
        <v>342</v>
      </c>
      <c r="D33" s="270" t="s">
        <v>351</v>
      </c>
      <c r="E33" s="426" t="s">
        <v>247</v>
      </c>
      <c r="F33" s="434">
        <v>123</v>
      </c>
      <c r="G33" s="435" t="s">
        <v>409</v>
      </c>
      <c r="H33" s="436" t="s">
        <v>350</v>
      </c>
      <c r="I33" s="437">
        <v>0</v>
      </c>
      <c r="J33" s="438">
        <f>I33*$E$127</f>
        <v>0</v>
      </c>
      <c r="K33" s="336"/>
    </row>
    <row r="37" spans="1:11" ht="15.75" customHeight="1" x14ac:dyDescent="0.25">
      <c r="A37" s="22" t="s">
        <v>417</v>
      </c>
      <c r="J37" s="143" t="s">
        <v>406</v>
      </c>
    </row>
    <row r="38" spans="1:11" ht="15.75" customHeight="1" thickBot="1" x14ac:dyDescent="0.3">
      <c r="A38" s="38"/>
      <c r="B38" s="39"/>
      <c r="C38" s="39"/>
      <c r="D38" s="39"/>
      <c r="E38" s="41"/>
      <c r="F38" s="38"/>
      <c r="G38" s="38"/>
      <c r="H38" s="39"/>
      <c r="I38" s="38"/>
      <c r="J38" s="38"/>
    </row>
    <row r="39" spans="1:11" ht="33.75" customHeight="1" thickBot="1" x14ac:dyDescent="0.3">
      <c r="A39" s="14" t="s">
        <v>1</v>
      </c>
      <c r="B39" s="15" t="s">
        <v>478</v>
      </c>
      <c r="C39" s="339" t="s">
        <v>477</v>
      </c>
      <c r="D39" s="17" t="s">
        <v>0</v>
      </c>
      <c r="E39" s="15" t="s">
        <v>70</v>
      </c>
      <c r="F39" s="18" t="s">
        <v>252</v>
      </c>
      <c r="G39" s="19" t="s">
        <v>175</v>
      </c>
      <c r="H39" s="16" t="s">
        <v>71</v>
      </c>
      <c r="I39" s="23" t="s">
        <v>28</v>
      </c>
      <c r="J39" s="24" t="s">
        <v>29</v>
      </c>
    </row>
    <row r="40" spans="1:11" s="37" customFormat="1" ht="15.75" customHeight="1" x14ac:dyDescent="0.25">
      <c r="A40" s="396">
        <v>44854</v>
      </c>
      <c r="B40" s="66" t="s">
        <v>342</v>
      </c>
      <c r="C40" s="67"/>
      <c r="D40" s="174" t="s">
        <v>247</v>
      </c>
      <c r="E40" s="363" t="s">
        <v>314</v>
      </c>
      <c r="F40" s="430">
        <v>276</v>
      </c>
      <c r="G40" s="431" t="s">
        <v>440</v>
      </c>
      <c r="H40" s="364" t="s">
        <v>378</v>
      </c>
      <c r="I40" s="211">
        <v>50.36</v>
      </c>
      <c r="J40" s="212">
        <v>936.57</v>
      </c>
      <c r="K40" s="336"/>
    </row>
    <row r="41" spans="1:11" s="37" customFormat="1" ht="15.75" customHeight="1" x14ac:dyDescent="0.25">
      <c r="A41" s="68"/>
      <c r="B41" s="69"/>
      <c r="C41" s="70"/>
      <c r="D41" s="218" t="s">
        <v>314</v>
      </c>
      <c r="E41" s="196" t="s">
        <v>443</v>
      </c>
      <c r="F41" s="432">
        <v>16.600000000000001</v>
      </c>
      <c r="G41" s="433" t="s">
        <v>413</v>
      </c>
      <c r="H41" s="496" t="s">
        <v>441</v>
      </c>
      <c r="I41" s="497"/>
      <c r="J41" s="498"/>
      <c r="K41" s="336"/>
    </row>
    <row r="42" spans="1:11" s="37" customFormat="1" ht="15.75" customHeight="1" x14ac:dyDescent="0.25">
      <c r="A42" s="348" t="s">
        <v>283</v>
      </c>
      <c r="B42" s="347" t="s">
        <v>10</v>
      </c>
      <c r="C42" s="360" t="s">
        <v>16</v>
      </c>
      <c r="D42" s="218" t="s">
        <v>311</v>
      </c>
      <c r="E42" s="439" t="s">
        <v>314</v>
      </c>
      <c r="F42" s="432">
        <v>17.8</v>
      </c>
      <c r="G42" s="433" t="s">
        <v>438</v>
      </c>
      <c r="H42" s="227" t="s">
        <v>442</v>
      </c>
      <c r="I42" s="194">
        <v>30.62</v>
      </c>
      <c r="J42" s="201">
        <v>570.45000000000005</v>
      </c>
      <c r="K42" s="336"/>
    </row>
    <row r="43" spans="1:11" s="37" customFormat="1" ht="15.75" customHeight="1" x14ac:dyDescent="0.25">
      <c r="A43" s="68"/>
      <c r="B43" s="69"/>
      <c r="C43" s="70"/>
      <c r="D43" s="218" t="s">
        <v>314</v>
      </c>
      <c r="E43" s="44" t="s">
        <v>353</v>
      </c>
      <c r="F43" s="432">
        <v>104</v>
      </c>
      <c r="G43" s="433" t="s">
        <v>444</v>
      </c>
      <c r="H43" s="471" t="s">
        <v>445</v>
      </c>
      <c r="I43" s="499"/>
      <c r="J43" s="500"/>
      <c r="K43" s="336"/>
    </row>
    <row r="44" spans="1:11" s="154" customFormat="1" ht="15.75" customHeight="1" thickBot="1" x14ac:dyDescent="0.3">
      <c r="A44" s="406">
        <v>45268</v>
      </c>
      <c r="B44" s="463">
        <f>A44-A40</f>
        <v>414</v>
      </c>
      <c r="C44" s="571" t="s">
        <v>342</v>
      </c>
      <c r="D44" s="322" t="s">
        <v>353</v>
      </c>
      <c r="E44" s="323" t="s">
        <v>56</v>
      </c>
      <c r="F44" s="434">
        <v>1.7</v>
      </c>
      <c r="G44" s="435" t="s">
        <v>275</v>
      </c>
      <c r="H44" s="373" t="s">
        <v>354</v>
      </c>
      <c r="I44" s="374">
        <f>3*3.3</f>
        <v>9.8999999999999986</v>
      </c>
      <c r="J44" s="276">
        <f>I44*$E$127</f>
        <v>183.74399999999997</v>
      </c>
      <c r="K44" s="338"/>
    </row>
    <row r="45" spans="1:11" s="37" customFormat="1" x14ac:dyDescent="0.25">
      <c r="A45" s="396">
        <v>45268</v>
      </c>
      <c r="B45" s="66" t="s">
        <v>342</v>
      </c>
      <c r="C45" s="67"/>
      <c r="D45" s="188" t="s">
        <v>56</v>
      </c>
      <c r="E45" s="22" t="s">
        <v>447</v>
      </c>
      <c r="F45" s="209">
        <v>405</v>
      </c>
      <c r="G45" s="232" t="s">
        <v>446</v>
      </c>
      <c r="H45" s="239" t="s">
        <v>380</v>
      </c>
      <c r="I45" s="200">
        <v>42.52</v>
      </c>
      <c r="J45" s="201">
        <v>792.18</v>
      </c>
      <c r="K45" s="336"/>
    </row>
    <row r="46" spans="1:11" x14ac:dyDescent="0.25">
      <c r="A46" s="349" t="s">
        <v>284</v>
      </c>
      <c r="B46" s="316" t="s">
        <v>18</v>
      </c>
      <c r="C46" s="365" t="s">
        <v>17</v>
      </c>
      <c r="D46" s="45" t="s">
        <v>525</v>
      </c>
      <c r="E46" s="181"/>
      <c r="F46" s="46"/>
      <c r="G46" s="225"/>
      <c r="H46" s="239" t="s">
        <v>355</v>
      </c>
      <c r="I46" s="200">
        <f>63.91+3.5</f>
        <v>67.41</v>
      </c>
      <c r="J46" s="201">
        <f>1191.3+65.28</f>
        <v>1256.58</v>
      </c>
    </row>
    <row r="47" spans="1:11" x14ac:dyDescent="0.25">
      <c r="A47" s="397">
        <v>45762</v>
      </c>
      <c r="B47" s="404">
        <f>A47-A45</f>
        <v>494</v>
      </c>
      <c r="C47" s="370" t="s">
        <v>342</v>
      </c>
      <c r="D47" s="45" t="s">
        <v>58</v>
      </c>
      <c r="E47" s="213" t="s">
        <v>57</v>
      </c>
      <c r="F47" s="46">
        <v>90.8</v>
      </c>
      <c r="G47" s="225" t="s">
        <v>59</v>
      </c>
      <c r="H47" s="361"/>
      <c r="I47" s="63"/>
      <c r="J47" s="64"/>
    </row>
    <row r="48" spans="1:11" s="39" customFormat="1" x14ac:dyDescent="0.25">
      <c r="A48" s="538" t="s">
        <v>286</v>
      </c>
      <c r="B48" s="539" t="s">
        <v>5</v>
      </c>
      <c r="C48" s="367" t="s">
        <v>3</v>
      </c>
      <c r="D48" s="484" t="s">
        <v>2</v>
      </c>
      <c r="E48" s="540" t="s">
        <v>25</v>
      </c>
      <c r="F48" s="540"/>
      <c r="G48" s="424" t="s">
        <v>27</v>
      </c>
      <c r="H48" s="303" t="s">
        <v>448</v>
      </c>
      <c r="I48" s="541"/>
      <c r="J48" s="298"/>
      <c r="K48" s="337"/>
    </row>
    <row r="49" spans="1:11" x14ac:dyDescent="0.25">
      <c r="A49" s="354"/>
      <c r="B49" s="317"/>
      <c r="C49" s="10"/>
      <c r="D49" s="185"/>
      <c r="E49" s="221" t="s">
        <v>26</v>
      </c>
      <c r="F49" s="221"/>
      <c r="G49" s="247" t="s">
        <v>203</v>
      </c>
      <c r="H49" s="248"/>
      <c r="I49" s="249"/>
      <c r="J49" s="250"/>
    </row>
    <row r="50" spans="1:11" x14ac:dyDescent="0.25">
      <c r="A50" s="570" t="s">
        <v>287</v>
      </c>
      <c r="B50" s="566" t="s">
        <v>6</v>
      </c>
      <c r="C50" s="565" t="s">
        <v>19</v>
      </c>
      <c r="D50" s="569" t="s">
        <v>21</v>
      </c>
      <c r="E50" s="566"/>
      <c r="F50" s="566"/>
      <c r="G50" s="568" t="s">
        <v>196</v>
      </c>
      <c r="H50" s="567"/>
      <c r="I50" s="566"/>
      <c r="J50" s="565"/>
    </row>
    <row r="51" spans="1:11" s="37" customFormat="1" x14ac:dyDescent="0.25">
      <c r="A51" s="399">
        <v>45762</v>
      </c>
      <c r="B51" s="402" t="s">
        <v>342</v>
      </c>
      <c r="C51" s="367"/>
      <c r="D51" s="188" t="s">
        <v>2</v>
      </c>
      <c r="E51" s="224" t="s">
        <v>248</v>
      </c>
      <c r="F51" s="209">
        <v>84.7</v>
      </c>
      <c r="G51" s="190" t="s">
        <v>449</v>
      </c>
      <c r="H51" s="364" t="s">
        <v>145</v>
      </c>
      <c r="I51" s="257">
        <v>30.22</v>
      </c>
      <c r="J51" s="252">
        <v>561.33000000000004</v>
      </c>
      <c r="K51" s="336"/>
    </row>
    <row r="52" spans="1:11" s="37" customFormat="1" ht="15.75" customHeight="1" x14ac:dyDescent="0.25">
      <c r="A52" s="349" t="s">
        <v>289</v>
      </c>
      <c r="B52" s="316" t="s">
        <v>7</v>
      </c>
      <c r="C52" s="365" t="s">
        <v>20</v>
      </c>
      <c r="D52" s="45" t="s">
        <v>248</v>
      </c>
      <c r="E52" s="213" t="s">
        <v>357</v>
      </c>
      <c r="F52" s="46">
        <v>1.2</v>
      </c>
      <c r="G52" s="47" t="s">
        <v>275</v>
      </c>
      <c r="H52" s="267" t="s">
        <v>356</v>
      </c>
      <c r="I52" s="200">
        <v>40.64</v>
      </c>
      <c r="J52" s="195">
        <v>754.68</v>
      </c>
      <c r="K52" s="335"/>
    </row>
    <row r="53" spans="1:11" x14ac:dyDescent="0.25">
      <c r="A53" s="400">
        <v>46016</v>
      </c>
      <c r="B53" s="459">
        <f>A53-A51</f>
        <v>254</v>
      </c>
      <c r="C53" s="369" t="s">
        <v>342</v>
      </c>
      <c r="D53" s="185" t="s">
        <v>248</v>
      </c>
      <c r="E53" s="221" t="s">
        <v>249</v>
      </c>
      <c r="F53" s="203">
        <v>168</v>
      </c>
      <c r="G53" s="187" t="s">
        <v>32</v>
      </c>
      <c r="H53" s="253" t="s">
        <v>450</v>
      </c>
      <c r="I53" s="254"/>
      <c r="J53" s="255"/>
    </row>
    <row r="54" spans="1:11" x14ac:dyDescent="0.25">
      <c r="A54" s="401">
        <v>46016</v>
      </c>
      <c r="B54" s="6" t="s">
        <v>342</v>
      </c>
      <c r="C54" s="346"/>
      <c r="D54" s="256" t="s">
        <v>524</v>
      </c>
      <c r="E54" s="224" t="s">
        <v>358</v>
      </c>
      <c r="F54" s="440">
        <v>31</v>
      </c>
      <c r="G54" s="441" t="s">
        <v>438</v>
      </c>
      <c r="H54" s="251" t="s">
        <v>160</v>
      </c>
      <c r="I54" s="257">
        <v>24.74</v>
      </c>
      <c r="J54" s="212">
        <v>463.9</v>
      </c>
    </row>
    <row r="55" spans="1:11" x14ac:dyDescent="0.25">
      <c r="A55" s="397"/>
      <c r="B55" s="3"/>
      <c r="C55" s="343"/>
      <c r="D55" s="218" t="s">
        <v>358</v>
      </c>
      <c r="E55" s="419" t="s">
        <v>451</v>
      </c>
      <c r="F55" s="442">
        <v>139</v>
      </c>
      <c r="G55" s="443" t="s">
        <v>452</v>
      </c>
      <c r="H55" s="501" t="s">
        <v>455</v>
      </c>
      <c r="I55" s="502"/>
      <c r="J55" s="498"/>
    </row>
    <row r="56" spans="1:11" x14ac:dyDescent="0.25">
      <c r="A56" s="397"/>
      <c r="B56" s="3"/>
      <c r="C56" s="343"/>
      <c r="D56" s="218" t="s">
        <v>451</v>
      </c>
      <c r="E56" s="419" t="s">
        <v>453</v>
      </c>
      <c r="F56" s="442">
        <v>139</v>
      </c>
      <c r="G56" s="443" t="s">
        <v>454</v>
      </c>
      <c r="H56" s="501" t="s">
        <v>456</v>
      </c>
      <c r="I56" s="502"/>
      <c r="J56" s="498"/>
    </row>
    <row r="57" spans="1:11" ht="15.75" customHeight="1" x14ac:dyDescent="0.25">
      <c r="A57" s="349" t="s">
        <v>290</v>
      </c>
      <c r="B57" s="316" t="s">
        <v>8</v>
      </c>
      <c r="C57" s="365" t="s">
        <v>22</v>
      </c>
      <c r="D57" s="218" t="s">
        <v>457</v>
      </c>
      <c r="E57" s="286" t="s">
        <v>24</v>
      </c>
      <c r="F57" s="432">
        <v>18.899999999999999</v>
      </c>
      <c r="G57" s="433" t="s">
        <v>101</v>
      </c>
      <c r="H57" s="239" t="s">
        <v>113</v>
      </c>
      <c r="I57" s="200">
        <f>3*25</f>
        <v>75</v>
      </c>
      <c r="J57" s="201">
        <v>1400.8</v>
      </c>
    </row>
    <row r="58" spans="1:11" ht="15.75" customHeight="1" x14ac:dyDescent="0.25">
      <c r="A58" s="2"/>
      <c r="B58" s="3"/>
      <c r="C58" s="4"/>
      <c r="D58" s="492"/>
      <c r="E58" s="503"/>
      <c r="F58" s="494" t="s">
        <v>458</v>
      </c>
      <c r="G58" s="495" t="s">
        <v>459</v>
      </c>
      <c r="H58" s="504" t="s">
        <v>118</v>
      </c>
      <c r="I58" s="499"/>
      <c r="J58" s="500"/>
    </row>
    <row r="59" spans="1:11" ht="15.75" customHeight="1" x14ac:dyDescent="0.25">
      <c r="A59" s="349"/>
      <c r="B59" s="316"/>
      <c r="C59" s="365"/>
      <c r="D59" s="218" t="s">
        <v>24</v>
      </c>
      <c r="E59" s="444" t="s">
        <v>533</v>
      </c>
      <c r="F59" s="183">
        <v>3.6</v>
      </c>
      <c r="G59" s="228" t="s">
        <v>223</v>
      </c>
      <c r="H59" s="260"/>
      <c r="I59" s="198"/>
      <c r="J59" s="199"/>
    </row>
    <row r="60" spans="1:11" ht="15.75" customHeight="1" x14ac:dyDescent="0.25">
      <c r="A60" s="349"/>
      <c r="B60" s="3"/>
      <c r="C60" s="4"/>
      <c r="D60" s="218" t="s">
        <v>532</v>
      </c>
      <c r="E60" s="219" t="s">
        <v>125</v>
      </c>
      <c r="F60" s="183">
        <v>56.7</v>
      </c>
      <c r="G60" s="228" t="s">
        <v>460</v>
      </c>
      <c r="H60" s="505" t="s">
        <v>461</v>
      </c>
      <c r="I60" s="499"/>
      <c r="J60" s="500"/>
    </row>
    <row r="61" spans="1:11" x14ac:dyDescent="0.25">
      <c r="A61" s="395">
        <v>46441</v>
      </c>
      <c r="B61" s="459">
        <f>A61-A54</f>
        <v>425</v>
      </c>
      <c r="C61" s="460" t="s">
        <v>342</v>
      </c>
      <c r="D61" s="235" t="s">
        <v>125</v>
      </c>
      <c r="E61" s="236" t="s">
        <v>359</v>
      </c>
      <c r="F61" s="445">
        <v>34</v>
      </c>
      <c r="G61" s="446" t="s">
        <v>462</v>
      </c>
      <c r="H61" s="253" t="s">
        <v>362</v>
      </c>
      <c r="I61" s="254">
        <v>0</v>
      </c>
      <c r="J61" s="255">
        <v>0</v>
      </c>
    </row>
    <row r="62" spans="1:11" x14ac:dyDescent="0.25">
      <c r="A62" s="396">
        <v>46441</v>
      </c>
      <c r="B62" s="66" t="s">
        <v>342</v>
      </c>
      <c r="C62" s="67"/>
      <c r="D62" s="174" t="s">
        <v>360</v>
      </c>
      <c r="E62" s="447" t="s">
        <v>464</v>
      </c>
      <c r="F62" s="430">
        <v>40</v>
      </c>
      <c r="G62" s="431" t="s">
        <v>463</v>
      </c>
      <c r="H62" s="264" t="s">
        <v>361</v>
      </c>
      <c r="I62" s="265"/>
      <c r="J62" s="266"/>
    </row>
    <row r="63" spans="1:11" x14ac:dyDescent="0.25">
      <c r="A63" s="68"/>
      <c r="B63" s="69"/>
      <c r="C63" s="70"/>
      <c r="D63" s="492" t="s">
        <v>464</v>
      </c>
      <c r="E63" s="506" t="s">
        <v>133</v>
      </c>
      <c r="F63" s="494" t="s">
        <v>465</v>
      </c>
      <c r="G63" s="495" t="s">
        <v>211</v>
      </c>
      <c r="H63" s="507" t="s">
        <v>135</v>
      </c>
      <c r="I63" s="499"/>
      <c r="J63" s="500"/>
    </row>
    <row r="64" spans="1:11" ht="15.75" customHeight="1" x14ac:dyDescent="0.25">
      <c r="A64" s="348" t="s">
        <v>291</v>
      </c>
      <c r="B64" s="347" t="s">
        <v>9</v>
      </c>
      <c r="C64" s="360" t="s">
        <v>23</v>
      </c>
      <c r="D64" s="218" t="s">
        <v>464</v>
      </c>
      <c r="E64" s="213" t="s">
        <v>363</v>
      </c>
      <c r="F64" s="183">
        <v>26</v>
      </c>
      <c r="G64" s="228" t="s">
        <v>142</v>
      </c>
      <c r="H64" s="267" t="s">
        <v>108</v>
      </c>
      <c r="I64" s="194">
        <v>45.96</v>
      </c>
      <c r="J64" s="201">
        <v>862.28</v>
      </c>
    </row>
    <row r="65" spans="1:11" ht="15.75" customHeight="1" thickBot="1" x14ac:dyDescent="0.3">
      <c r="A65" s="403">
        <v>46512</v>
      </c>
      <c r="B65" s="404">
        <f>A65-A61</f>
        <v>71</v>
      </c>
      <c r="C65" s="405" t="s">
        <v>342</v>
      </c>
      <c r="D65" s="45" t="s">
        <v>363</v>
      </c>
      <c r="E65" s="213" t="s">
        <v>141</v>
      </c>
      <c r="F65" s="183">
        <v>8.9</v>
      </c>
      <c r="G65" s="228" t="s">
        <v>466</v>
      </c>
      <c r="H65" s="218" t="s">
        <v>364</v>
      </c>
      <c r="I65" s="46"/>
      <c r="J65" s="47"/>
    </row>
    <row r="66" spans="1:11" ht="15.75" customHeight="1" x14ac:dyDescent="0.25">
      <c r="A66" s="562" t="s">
        <v>519</v>
      </c>
      <c r="B66" s="561">
        <f>A65-A11</f>
        <v>2791</v>
      </c>
      <c r="C66" s="560" t="s">
        <v>342</v>
      </c>
      <c r="D66" s="185" t="s">
        <v>141</v>
      </c>
      <c r="E66" s="186" t="s">
        <v>110</v>
      </c>
      <c r="F66" s="203"/>
      <c r="G66" s="187" t="s">
        <v>197</v>
      </c>
      <c r="H66" s="253"/>
      <c r="I66" s="254"/>
      <c r="J66" s="255"/>
    </row>
    <row r="67" spans="1:11" ht="15.75" customHeight="1" thickBot="1" x14ac:dyDescent="0.3">
      <c r="A67" s="559" t="s">
        <v>518</v>
      </c>
      <c r="B67" s="558">
        <f>J16+J24+J40+J45+J51+J54+J64</f>
        <v>4667.2</v>
      </c>
      <c r="C67" s="557" t="s">
        <v>517</v>
      </c>
      <c r="D67" s="174" t="s">
        <v>109</v>
      </c>
      <c r="E67" s="224" t="s">
        <v>198</v>
      </c>
      <c r="F67" s="564" t="s">
        <v>467</v>
      </c>
      <c r="G67" s="563" t="s">
        <v>101</v>
      </c>
      <c r="H67" s="554" t="s">
        <v>365</v>
      </c>
      <c r="I67" s="233">
        <v>0</v>
      </c>
      <c r="J67" s="234">
        <f>I67*$E$127</f>
        <v>0</v>
      </c>
    </row>
    <row r="68" spans="1:11" ht="15.75" customHeight="1" x14ac:dyDescent="0.25">
      <c r="A68" s="349"/>
      <c r="B68" s="3"/>
      <c r="C68" s="4"/>
      <c r="D68" s="362" t="s">
        <v>198</v>
      </c>
      <c r="E68" s="286" t="s">
        <v>205</v>
      </c>
      <c r="F68" s="183">
        <v>2.4</v>
      </c>
      <c r="G68" s="184" t="s">
        <v>429</v>
      </c>
      <c r="H68" s="227" t="s">
        <v>407</v>
      </c>
      <c r="I68" s="200">
        <v>72</v>
      </c>
      <c r="J68" s="201">
        <f>259.38+1209.79</f>
        <v>1469.17</v>
      </c>
    </row>
    <row r="69" spans="1:11" ht="15.75" customHeight="1" thickBot="1" x14ac:dyDescent="0.3">
      <c r="A69" s="351"/>
      <c r="B69" s="12"/>
      <c r="C69" s="13"/>
      <c r="D69" s="270"/>
      <c r="E69" s="271" t="s">
        <v>367</v>
      </c>
      <c r="F69" s="272"/>
      <c r="G69" s="273"/>
      <c r="H69" s="414" t="s">
        <v>366</v>
      </c>
      <c r="I69" s="415">
        <v>130</v>
      </c>
      <c r="J69" s="416">
        <v>2438.87</v>
      </c>
    </row>
    <row r="70" spans="1:11" s="39" customFormat="1" x14ac:dyDescent="0.25">
      <c r="A70" s="78"/>
      <c r="C70" s="38"/>
      <c r="D70" s="328"/>
      <c r="E70" s="329"/>
      <c r="F70" s="330"/>
      <c r="G70" s="331"/>
      <c r="H70" s="332"/>
      <c r="I70" s="333"/>
      <c r="J70" s="334"/>
      <c r="K70" s="337"/>
    </row>
    <row r="71" spans="1:11" x14ac:dyDescent="0.25">
      <c r="A71" s="22" t="s">
        <v>399</v>
      </c>
      <c r="J71" s="143" t="s">
        <v>406</v>
      </c>
    </row>
    <row r="72" spans="1:11" s="335" customFormat="1" ht="16.5" thickBot="1" x14ac:dyDescent="0.3">
      <c r="A72" s="38"/>
      <c r="B72" s="39"/>
      <c r="C72" s="39"/>
      <c r="D72" s="154"/>
      <c r="E72" s="39"/>
      <c r="F72" s="384"/>
      <c r="G72" s="384"/>
      <c r="H72" s="387"/>
      <c r="I72" s="385"/>
      <c r="J72" s="386"/>
    </row>
    <row r="73" spans="1:11" ht="33.75" customHeight="1" thickBot="1" x14ac:dyDescent="0.3">
      <c r="A73" s="14" t="s">
        <v>1</v>
      </c>
      <c r="B73" s="15" t="s">
        <v>478</v>
      </c>
      <c r="C73" s="339" t="s">
        <v>477</v>
      </c>
      <c r="D73" s="17" t="s">
        <v>0</v>
      </c>
      <c r="E73" s="15" t="s">
        <v>70</v>
      </c>
      <c r="F73" s="18" t="s">
        <v>252</v>
      </c>
      <c r="G73" s="19" t="s">
        <v>175</v>
      </c>
      <c r="H73" s="16" t="s">
        <v>71</v>
      </c>
      <c r="I73" s="23" t="s">
        <v>28</v>
      </c>
      <c r="J73" s="24" t="s">
        <v>29</v>
      </c>
    </row>
    <row r="74" spans="1:11" x14ac:dyDescent="0.25">
      <c r="A74" s="349"/>
      <c r="B74" s="316"/>
      <c r="C74" s="4"/>
      <c r="D74" s="512" t="s">
        <v>215</v>
      </c>
      <c r="E74" s="480" t="s">
        <v>198</v>
      </c>
      <c r="F74" s="513" t="s">
        <v>122</v>
      </c>
      <c r="G74" s="514" t="s">
        <v>240</v>
      </c>
      <c r="H74" s="284" t="s">
        <v>214</v>
      </c>
      <c r="I74" s="285">
        <f>452.6-95.08</f>
        <v>357.52000000000004</v>
      </c>
      <c r="J74" s="43">
        <f>8424-1768.88</f>
        <v>6655.12</v>
      </c>
    </row>
    <row r="75" spans="1:11" ht="45.75" customHeight="1" x14ac:dyDescent="0.25">
      <c r="A75" s="403">
        <v>12219</v>
      </c>
      <c r="B75" s="69" t="s">
        <v>342</v>
      </c>
      <c r="C75" s="4"/>
      <c r="D75" s="256" t="s">
        <v>198</v>
      </c>
      <c r="E75" s="219" t="s">
        <v>526</v>
      </c>
      <c r="F75" s="448">
        <v>18.899999999999999</v>
      </c>
      <c r="G75" s="449" t="s">
        <v>527</v>
      </c>
      <c r="H75" s="227" t="s">
        <v>370</v>
      </c>
      <c r="I75" s="200">
        <v>104.72</v>
      </c>
      <c r="J75" s="201">
        <v>1964.6</v>
      </c>
    </row>
    <row r="76" spans="1:11" ht="31.5" x14ac:dyDescent="0.25">
      <c r="A76" s="349" t="s">
        <v>292</v>
      </c>
      <c r="B76" s="347" t="s">
        <v>10</v>
      </c>
      <c r="C76" s="360" t="s">
        <v>61</v>
      </c>
      <c r="D76" s="256" t="s">
        <v>368</v>
      </c>
      <c r="E76" s="219" t="s">
        <v>528</v>
      </c>
      <c r="F76" s="448">
        <v>2.9</v>
      </c>
      <c r="G76" s="574" t="s">
        <v>410</v>
      </c>
      <c r="H76" s="227" t="s">
        <v>371</v>
      </c>
      <c r="I76" s="200">
        <v>11.99</v>
      </c>
      <c r="J76" s="201">
        <v>223.9</v>
      </c>
    </row>
    <row r="77" spans="1:11" x14ac:dyDescent="0.25">
      <c r="A77" s="2"/>
      <c r="B77" s="3"/>
      <c r="C77" s="4"/>
      <c r="D77" s="45" t="s">
        <v>274</v>
      </c>
      <c r="E77" s="213" t="s">
        <v>50</v>
      </c>
      <c r="F77" s="214">
        <v>86.4</v>
      </c>
      <c r="G77" s="215" t="s">
        <v>430</v>
      </c>
      <c r="H77" s="267" t="s">
        <v>369</v>
      </c>
      <c r="I77" s="200">
        <v>4</v>
      </c>
      <c r="J77" s="201">
        <f>I77*$E$127</f>
        <v>74.239999999999995</v>
      </c>
    </row>
    <row r="78" spans="1:11" x14ac:dyDescent="0.25">
      <c r="A78" s="2"/>
      <c r="B78" s="69"/>
      <c r="C78" s="70"/>
      <c r="D78" s="508" t="s">
        <v>72</v>
      </c>
      <c r="E78" s="509" t="s">
        <v>47</v>
      </c>
      <c r="F78" s="469" t="s">
        <v>190</v>
      </c>
      <c r="G78" s="470" t="s">
        <v>48</v>
      </c>
      <c r="H78" s="479" t="s">
        <v>468</v>
      </c>
      <c r="I78" s="510"/>
      <c r="J78" s="511"/>
    </row>
    <row r="79" spans="1:11" ht="49.5" customHeight="1" x14ac:dyDescent="0.25">
      <c r="A79" s="458">
        <f>A75+F75+F76+F77+F79</f>
        <v>12367.9</v>
      </c>
      <c r="B79" s="459">
        <f>A79-A75</f>
        <v>148.89999999999964</v>
      </c>
      <c r="C79" s="460" t="s">
        <v>342</v>
      </c>
      <c r="D79" s="235" t="s">
        <v>372</v>
      </c>
      <c r="E79" s="202" t="s">
        <v>373</v>
      </c>
      <c r="F79" s="172">
        <v>40.700000000000003</v>
      </c>
      <c r="G79" s="170" t="s">
        <v>523</v>
      </c>
      <c r="H79" s="451" t="s">
        <v>374</v>
      </c>
      <c r="I79" s="412">
        <v>180</v>
      </c>
      <c r="J79" s="413">
        <v>3350.22</v>
      </c>
    </row>
    <row r="80" spans="1:11" x14ac:dyDescent="0.25">
      <c r="A80" s="401">
        <v>12368</v>
      </c>
      <c r="B80" s="6" t="s">
        <v>342</v>
      </c>
      <c r="C80" s="450"/>
      <c r="D80" s="188" t="s">
        <v>375</v>
      </c>
      <c r="E80" s="224" t="s">
        <v>408</v>
      </c>
      <c r="F80" s="440">
        <v>156</v>
      </c>
      <c r="G80" s="441" t="s">
        <v>469</v>
      </c>
      <c r="H80" s="251" t="s">
        <v>381</v>
      </c>
      <c r="I80" s="257">
        <v>22.9</v>
      </c>
      <c r="J80" s="212">
        <v>427.67</v>
      </c>
    </row>
    <row r="81" spans="1:10" x14ac:dyDescent="0.25">
      <c r="A81" s="2"/>
      <c r="B81" s="3"/>
      <c r="C81" s="4"/>
      <c r="D81" s="45" t="s">
        <v>163</v>
      </c>
      <c r="E81" s="382" t="s">
        <v>472</v>
      </c>
      <c r="F81" s="214">
        <v>162</v>
      </c>
      <c r="G81" s="215" t="s">
        <v>473</v>
      </c>
      <c r="H81" s="452" t="s">
        <v>474</v>
      </c>
      <c r="I81" s="453"/>
      <c r="J81" s="454"/>
    </row>
    <row r="82" spans="1:10" x14ac:dyDescent="0.25">
      <c r="A82" s="2"/>
      <c r="B82" s="3"/>
      <c r="C82" s="4"/>
      <c r="D82" s="45" t="s">
        <v>472</v>
      </c>
      <c r="E82" s="381" t="s">
        <v>38</v>
      </c>
      <c r="F82" s="214">
        <v>36.200000000000003</v>
      </c>
      <c r="G82" s="215" t="s">
        <v>460</v>
      </c>
      <c r="H82" s="267" t="s">
        <v>85</v>
      </c>
      <c r="I82" s="200">
        <f>2*8</f>
        <v>16</v>
      </c>
      <c r="J82" s="201">
        <f>16*627.27/34</f>
        <v>295.18588235294118</v>
      </c>
    </row>
    <row r="83" spans="1:10" x14ac:dyDescent="0.25">
      <c r="A83" s="349" t="s">
        <v>293</v>
      </c>
      <c r="B83" s="316" t="s">
        <v>18</v>
      </c>
      <c r="C83" s="365" t="s">
        <v>62</v>
      </c>
      <c r="D83" s="45" t="s">
        <v>38</v>
      </c>
      <c r="E83" s="382" t="s">
        <v>393</v>
      </c>
      <c r="F83" s="46">
        <v>5.4</v>
      </c>
      <c r="G83" s="47" t="s">
        <v>230</v>
      </c>
      <c r="H83" s="267" t="s">
        <v>388</v>
      </c>
      <c r="I83" s="200">
        <f>3*6</f>
        <v>18</v>
      </c>
      <c r="J83" s="201">
        <f>18*627.27/34</f>
        <v>332.08411764705886</v>
      </c>
    </row>
    <row r="84" spans="1:10" s="335" customFormat="1" x14ac:dyDescent="0.25">
      <c r="A84" s="349"/>
      <c r="B84" s="316"/>
      <c r="C84" s="4"/>
      <c r="D84" s="515"/>
      <c r="E84" s="516"/>
      <c r="F84" s="469" t="s">
        <v>470</v>
      </c>
      <c r="G84" s="470" t="s">
        <v>471</v>
      </c>
      <c r="H84" s="517" t="s">
        <v>392</v>
      </c>
      <c r="I84" s="469"/>
      <c r="J84" s="483"/>
    </row>
    <row r="85" spans="1:10" s="335" customFormat="1" x14ac:dyDescent="0.25">
      <c r="A85" s="400">
        <v>12722</v>
      </c>
      <c r="B85" s="459">
        <f>A85-A80</f>
        <v>354</v>
      </c>
      <c r="C85" s="460" t="s">
        <v>342</v>
      </c>
      <c r="D85" s="378" t="s">
        <v>393</v>
      </c>
      <c r="E85" s="221" t="s">
        <v>38</v>
      </c>
      <c r="F85" s="203">
        <v>5.4</v>
      </c>
      <c r="G85" s="187" t="s">
        <v>475</v>
      </c>
      <c r="H85" s="286" t="s">
        <v>79</v>
      </c>
      <c r="I85" s="203"/>
      <c r="J85" s="379"/>
    </row>
    <row r="86" spans="1:10" s="335" customFormat="1" x14ac:dyDescent="0.25">
      <c r="A86" s="371" t="s">
        <v>294</v>
      </c>
      <c r="B86" s="372" t="s">
        <v>5</v>
      </c>
      <c r="C86" s="418" t="s">
        <v>63</v>
      </c>
      <c r="D86" s="380" t="s">
        <v>38</v>
      </c>
      <c r="E86" s="224" t="s">
        <v>394</v>
      </c>
      <c r="F86" s="209">
        <v>4</v>
      </c>
      <c r="G86" s="190" t="s">
        <v>230</v>
      </c>
      <c r="H86" s="377"/>
      <c r="I86" s="209"/>
      <c r="J86" s="234"/>
    </row>
    <row r="87" spans="1:10" s="335" customFormat="1" ht="67.5" customHeight="1" x14ac:dyDescent="0.25">
      <c r="A87" s="400">
        <f>A85+F86</f>
        <v>12726</v>
      </c>
      <c r="B87" s="459">
        <f>A87-A85</f>
        <v>4</v>
      </c>
      <c r="C87" s="460" t="s">
        <v>342</v>
      </c>
      <c r="D87" s="518" t="s">
        <v>394</v>
      </c>
      <c r="E87" s="519" t="s">
        <v>39</v>
      </c>
      <c r="F87" s="520" t="s">
        <v>481</v>
      </c>
      <c r="G87" s="521" t="s">
        <v>522</v>
      </c>
      <c r="H87" s="522" t="s">
        <v>521</v>
      </c>
      <c r="I87" s="523"/>
      <c r="J87" s="524"/>
    </row>
    <row r="88" spans="1:10" s="335" customFormat="1" x14ac:dyDescent="0.25">
      <c r="A88" s="401">
        <v>12726</v>
      </c>
      <c r="B88" s="6" t="s">
        <v>342</v>
      </c>
      <c r="C88" s="7"/>
      <c r="D88" s="472" t="s">
        <v>39</v>
      </c>
      <c r="E88" s="485" t="s">
        <v>394</v>
      </c>
      <c r="F88" s="474" t="s">
        <v>482</v>
      </c>
      <c r="G88" s="475" t="s">
        <v>409</v>
      </c>
      <c r="H88" s="525"/>
      <c r="I88" s="526"/>
      <c r="J88" s="475"/>
    </row>
    <row r="89" spans="1:10" s="335" customFormat="1" x14ac:dyDescent="0.25">
      <c r="A89" s="2"/>
      <c r="B89" s="3"/>
      <c r="C89" s="4"/>
      <c r="D89" s="45" t="s">
        <v>394</v>
      </c>
      <c r="E89" s="213" t="s">
        <v>38</v>
      </c>
      <c r="F89" s="214">
        <v>3.7</v>
      </c>
      <c r="G89" s="215" t="s">
        <v>484</v>
      </c>
      <c r="H89" s="45" t="s">
        <v>483</v>
      </c>
      <c r="I89" s="46"/>
      <c r="J89" s="47"/>
    </row>
    <row r="90" spans="1:10" s="335" customFormat="1" x14ac:dyDescent="0.25">
      <c r="A90" s="2"/>
      <c r="B90" s="3"/>
      <c r="C90" s="4"/>
      <c r="D90" s="45" t="s">
        <v>38</v>
      </c>
      <c r="E90" s="213" t="s">
        <v>488</v>
      </c>
      <c r="F90" s="214">
        <v>42.9</v>
      </c>
      <c r="G90" s="215" t="s">
        <v>490</v>
      </c>
      <c r="H90" s="45"/>
      <c r="I90" s="46"/>
      <c r="J90" s="47"/>
    </row>
    <row r="91" spans="1:10" s="335" customFormat="1" x14ac:dyDescent="0.25">
      <c r="A91" s="349" t="s">
        <v>296</v>
      </c>
      <c r="B91" s="316" t="s">
        <v>6</v>
      </c>
      <c r="C91" s="365" t="s">
        <v>64</v>
      </c>
      <c r="D91" s="45" t="s">
        <v>489</v>
      </c>
      <c r="E91" s="213" t="s">
        <v>396</v>
      </c>
      <c r="F91" s="214">
        <v>42.7</v>
      </c>
      <c r="G91" s="215" t="s">
        <v>429</v>
      </c>
      <c r="H91" s="375" t="s">
        <v>384</v>
      </c>
      <c r="I91" s="194">
        <v>22.84</v>
      </c>
      <c r="J91" s="201">
        <v>425.14</v>
      </c>
    </row>
    <row r="92" spans="1:10" s="335" customFormat="1" x14ac:dyDescent="0.25">
      <c r="A92" s="349"/>
      <c r="B92" s="69"/>
      <c r="C92" s="70"/>
      <c r="D92" s="45" t="s">
        <v>396</v>
      </c>
      <c r="E92" s="213" t="s">
        <v>383</v>
      </c>
      <c r="F92" s="214">
        <v>86.4</v>
      </c>
      <c r="G92" s="215" t="s">
        <v>126</v>
      </c>
      <c r="H92" s="267" t="s">
        <v>382</v>
      </c>
      <c r="I92" s="194">
        <v>83.61</v>
      </c>
      <c r="J92" s="201">
        <v>1542.54</v>
      </c>
    </row>
    <row r="93" spans="1:10" s="335" customFormat="1" x14ac:dyDescent="0.25">
      <c r="A93" s="349"/>
      <c r="B93" s="69"/>
      <c r="C93" s="70"/>
      <c r="D93" s="283" t="s">
        <v>383</v>
      </c>
      <c r="E93" s="213" t="s">
        <v>395</v>
      </c>
      <c r="F93" s="442">
        <v>77.5</v>
      </c>
      <c r="G93" s="443" t="s">
        <v>276</v>
      </c>
      <c r="H93" s="383" t="s">
        <v>403</v>
      </c>
      <c r="I93" s="194">
        <v>14.8</v>
      </c>
      <c r="J93" s="201">
        <v>275.52999999999997</v>
      </c>
    </row>
    <row r="94" spans="1:10" s="335" customFormat="1" ht="16.5" thickBot="1" x14ac:dyDescent="0.3">
      <c r="A94" s="406">
        <v>13197</v>
      </c>
      <c r="B94" s="463">
        <f>A94-A88</f>
        <v>471</v>
      </c>
      <c r="C94" s="464" t="s">
        <v>342</v>
      </c>
      <c r="D94" s="270" t="s">
        <v>395</v>
      </c>
      <c r="E94" s="366" t="s">
        <v>397</v>
      </c>
      <c r="F94" s="434">
        <v>230</v>
      </c>
      <c r="G94" s="465" t="s">
        <v>485</v>
      </c>
      <c r="H94" s="388" t="s">
        <v>486</v>
      </c>
      <c r="I94" s="326"/>
      <c r="J94" s="327"/>
    </row>
    <row r="95" spans="1:10" s="335" customFormat="1" x14ac:dyDescent="0.25">
      <c r="A95" s="22" t="s">
        <v>400</v>
      </c>
      <c r="B95" s="1"/>
      <c r="C95" s="1"/>
      <c r="D95" s="1"/>
      <c r="E95" s="1"/>
      <c r="F95" s="1"/>
      <c r="G95" s="1"/>
      <c r="H95" s="1"/>
      <c r="I95" s="1"/>
      <c r="J95" s="143" t="s">
        <v>406</v>
      </c>
    </row>
    <row r="96" spans="1:10" s="335" customFormat="1" ht="16.5" thickBot="1" x14ac:dyDescent="0.3">
      <c r="A96" s="22"/>
      <c r="B96" s="1"/>
      <c r="C96" s="1"/>
      <c r="D96" s="1"/>
      <c r="E96" s="1"/>
      <c r="F96" s="1"/>
      <c r="G96" s="1"/>
      <c r="H96" s="1"/>
      <c r="I96" s="1"/>
      <c r="J96" s="143"/>
    </row>
    <row r="97" spans="1:12" ht="33.75" customHeight="1" thickBot="1" x14ac:dyDescent="0.3">
      <c r="A97" s="14" t="s">
        <v>1</v>
      </c>
      <c r="B97" s="15" t="s">
        <v>478</v>
      </c>
      <c r="C97" s="339" t="s">
        <v>477</v>
      </c>
      <c r="D97" s="17" t="s">
        <v>0</v>
      </c>
      <c r="E97" s="15" t="s">
        <v>70</v>
      </c>
      <c r="F97" s="18" t="s">
        <v>252</v>
      </c>
      <c r="G97" s="19" t="s">
        <v>175</v>
      </c>
      <c r="H97" s="16" t="s">
        <v>71</v>
      </c>
      <c r="I97" s="23" t="s">
        <v>28</v>
      </c>
      <c r="J97" s="24" t="s">
        <v>29</v>
      </c>
    </row>
    <row r="98" spans="1:12" s="335" customFormat="1" x14ac:dyDescent="0.25">
      <c r="A98" s="461">
        <v>13197</v>
      </c>
      <c r="B98" s="146" t="s">
        <v>342</v>
      </c>
      <c r="C98" s="147"/>
      <c r="D98" s="389" t="s">
        <v>398</v>
      </c>
      <c r="E98" s="466" t="s">
        <v>167</v>
      </c>
      <c r="F98" s="390">
        <v>35.299999999999997</v>
      </c>
      <c r="G98" s="391" t="s">
        <v>426</v>
      </c>
      <c r="H98" s="394" t="s">
        <v>42</v>
      </c>
      <c r="I98" s="392"/>
      <c r="J98" s="393"/>
    </row>
    <row r="99" spans="1:12" s="335" customFormat="1" ht="15.75" customHeight="1" x14ac:dyDescent="0.25">
      <c r="A99" s="2"/>
      <c r="B99" s="3"/>
      <c r="C99" s="4"/>
      <c r="D99" s="479"/>
      <c r="E99" s="527" t="s">
        <v>44</v>
      </c>
      <c r="F99" s="494" t="s">
        <v>255</v>
      </c>
      <c r="G99" s="528" t="s">
        <v>487</v>
      </c>
      <c r="H99" s="479"/>
      <c r="I99" s="499"/>
      <c r="J99" s="500"/>
    </row>
    <row r="100" spans="1:12" s="335" customFormat="1" ht="15.75" customHeight="1" x14ac:dyDescent="0.25">
      <c r="A100" s="349"/>
      <c r="B100" s="316"/>
      <c r="C100" s="365"/>
      <c r="D100" s="45" t="s">
        <v>167</v>
      </c>
      <c r="E100" s="213" t="s">
        <v>493</v>
      </c>
      <c r="F100" s="531">
        <v>25.2</v>
      </c>
      <c r="G100" s="532" t="s">
        <v>494</v>
      </c>
      <c r="H100" s="479" t="s">
        <v>495</v>
      </c>
      <c r="I100" s="499"/>
      <c r="J100" s="500"/>
    </row>
    <row r="101" spans="1:12" s="335" customFormat="1" ht="15.75" customHeight="1" x14ac:dyDescent="0.25">
      <c r="A101" s="349" t="s">
        <v>297</v>
      </c>
      <c r="B101" s="316" t="s">
        <v>7</v>
      </c>
      <c r="C101" s="365" t="s">
        <v>65</v>
      </c>
      <c r="D101" s="45" t="s">
        <v>493</v>
      </c>
      <c r="E101" s="213" t="s">
        <v>491</v>
      </c>
      <c r="F101" s="531">
        <v>130</v>
      </c>
      <c r="G101" s="532" t="s">
        <v>430</v>
      </c>
      <c r="H101" s="533" t="s">
        <v>492</v>
      </c>
      <c r="I101" s="198"/>
      <c r="J101" s="199"/>
    </row>
    <row r="102" spans="1:12" s="335" customFormat="1" ht="15.75" customHeight="1" x14ac:dyDescent="0.25">
      <c r="A102" s="2"/>
      <c r="B102" s="3"/>
      <c r="C102" s="4"/>
      <c r="D102" s="45" t="s">
        <v>491</v>
      </c>
      <c r="E102" s="213" t="s">
        <v>395</v>
      </c>
      <c r="F102" s="46">
        <v>126</v>
      </c>
      <c r="G102" s="47" t="s">
        <v>496</v>
      </c>
      <c r="H102" s="267" t="s">
        <v>403</v>
      </c>
      <c r="I102" s="194">
        <v>22.39</v>
      </c>
      <c r="J102" s="201">
        <v>416.87</v>
      </c>
    </row>
    <row r="103" spans="1:12" s="335" customFormat="1" ht="49.5" customHeight="1" x14ac:dyDescent="0.25">
      <c r="A103" s="400">
        <v>13854</v>
      </c>
      <c r="B103" s="459">
        <f>A103-A98</f>
        <v>657</v>
      </c>
      <c r="C103" s="460" t="s">
        <v>342</v>
      </c>
      <c r="D103" s="235" t="s">
        <v>395</v>
      </c>
      <c r="E103" s="236" t="s">
        <v>390</v>
      </c>
      <c r="F103" s="172">
        <v>356</v>
      </c>
      <c r="G103" s="534" t="s">
        <v>520</v>
      </c>
      <c r="H103" s="535" t="s">
        <v>404</v>
      </c>
      <c r="I103" s="172"/>
      <c r="J103" s="173"/>
      <c r="L103" s="537"/>
    </row>
    <row r="104" spans="1:12" s="335" customFormat="1" ht="15.75" customHeight="1" x14ac:dyDescent="0.25">
      <c r="A104" s="401">
        <v>13854</v>
      </c>
      <c r="B104" s="66" t="s">
        <v>342</v>
      </c>
      <c r="C104" s="67"/>
      <c r="D104" s="188" t="s">
        <v>390</v>
      </c>
      <c r="E104" s="224" t="s">
        <v>391</v>
      </c>
      <c r="F104" s="209">
        <v>4.9000000000000004</v>
      </c>
      <c r="G104" s="232" t="s">
        <v>223</v>
      </c>
      <c r="H104" s="251" t="s">
        <v>169</v>
      </c>
      <c r="I104" s="257">
        <v>28.98</v>
      </c>
      <c r="J104" s="212">
        <v>539.59</v>
      </c>
    </row>
    <row r="105" spans="1:12" s="335" customFormat="1" x14ac:dyDescent="0.25">
      <c r="A105" s="2"/>
      <c r="B105" s="3"/>
      <c r="C105" s="4"/>
      <c r="D105" s="45" t="s">
        <v>391</v>
      </c>
      <c r="E105" s="286" t="s">
        <v>389</v>
      </c>
      <c r="F105" s="46">
        <v>51.7</v>
      </c>
      <c r="G105" s="47" t="s">
        <v>126</v>
      </c>
      <c r="H105" s="267" t="s">
        <v>497</v>
      </c>
      <c r="I105" s="194">
        <v>69</v>
      </c>
      <c r="J105" s="201">
        <f>1111.14+9*E127</f>
        <v>1278.18</v>
      </c>
    </row>
    <row r="106" spans="1:12" s="335" customFormat="1" x14ac:dyDescent="0.25">
      <c r="A106" s="2"/>
      <c r="B106" s="3"/>
      <c r="C106" s="4"/>
      <c r="D106" s="527" t="s">
        <v>498</v>
      </c>
      <c r="E106" s="527"/>
      <c r="F106" s="469" t="s">
        <v>122</v>
      </c>
      <c r="G106" s="528" t="s">
        <v>499</v>
      </c>
      <c r="H106" s="529" t="s">
        <v>500</v>
      </c>
      <c r="I106" s="530"/>
      <c r="J106" s="483"/>
    </row>
    <row r="107" spans="1:12" s="335" customFormat="1" x14ac:dyDescent="0.25">
      <c r="A107" s="349" t="s">
        <v>298</v>
      </c>
      <c r="B107" s="316" t="s">
        <v>8</v>
      </c>
      <c r="C107" s="365" t="s">
        <v>66</v>
      </c>
      <c r="D107" s="45" t="s">
        <v>389</v>
      </c>
      <c r="E107" s="213" t="s">
        <v>385</v>
      </c>
      <c r="F107" s="46">
        <v>122</v>
      </c>
      <c r="G107" s="47" t="s">
        <v>501</v>
      </c>
      <c r="H107" s="193" t="s">
        <v>385</v>
      </c>
      <c r="I107" s="194">
        <v>8.25</v>
      </c>
      <c r="J107" s="201">
        <v>153.47</v>
      </c>
    </row>
    <row r="108" spans="1:12" s="335" customFormat="1" x14ac:dyDescent="0.25">
      <c r="A108" s="2"/>
      <c r="B108" s="3"/>
      <c r="C108" s="4"/>
      <c r="D108" s="45" t="s">
        <v>385</v>
      </c>
      <c r="E108" s="286" t="s">
        <v>30</v>
      </c>
      <c r="F108" s="46">
        <v>165</v>
      </c>
      <c r="G108" s="47" t="s">
        <v>502</v>
      </c>
      <c r="H108" s="542" t="s">
        <v>503</v>
      </c>
      <c r="I108" s="530"/>
      <c r="J108" s="483"/>
    </row>
    <row r="109" spans="1:12" s="335" customFormat="1" x14ac:dyDescent="0.25">
      <c r="A109" s="2"/>
      <c r="B109" s="3"/>
      <c r="C109" s="4"/>
      <c r="D109" s="45" t="s">
        <v>30</v>
      </c>
      <c r="E109" s="213" t="s">
        <v>504</v>
      </c>
      <c r="F109" s="46">
        <v>81.8</v>
      </c>
      <c r="G109" s="47" t="s">
        <v>505</v>
      </c>
      <c r="H109" s="375" t="s">
        <v>386</v>
      </c>
      <c r="I109" s="194">
        <v>12.49</v>
      </c>
      <c r="J109" s="201">
        <v>230.34</v>
      </c>
    </row>
    <row r="110" spans="1:12" s="335" customFormat="1" x14ac:dyDescent="0.25">
      <c r="A110" s="2"/>
      <c r="B110" s="3"/>
      <c r="C110" s="4"/>
      <c r="D110" s="45" t="s">
        <v>504</v>
      </c>
      <c r="E110" s="286" t="s">
        <v>31</v>
      </c>
      <c r="F110" s="46">
        <v>68.3</v>
      </c>
      <c r="G110" s="28" t="s">
        <v>506</v>
      </c>
      <c r="H110" s="543" t="s">
        <v>507</v>
      </c>
      <c r="I110" s="544"/>
      <c r="J110" s="545"/>
    </row>
    <row r="111" spans="1:12" s="335" customFormat="1" x14ac:dyDescent="0.25">
      <c r="A111" s="400">
        <v>14360</v>
      </c>
      <c r="B111" s="459">
        <f>A111-A104</f>
        <v>506</v>
      </c>
      <c r="C111" s="460" t="s">
        <v>342</v>
      </c>
      <c r="D111" s="185" t="s">
        <v>31</v>
      </c>
      <c r="E111" s="221" t="s">
        <v>508</v>
      </c>
      <c r="F111" s="203">
        <v>149</v>
      </c>
      <c r="G111" s="187" t="s">
        <v>32</v>
      </c>
      <c r="H111" s="286" t="s">
        <v>509</v>
      </c>
      <c r="I111" s="203"/>
      <c r="J111" s="187"/>
    </row>
    <row r="112" spans="1:12" s="335" customFormat="1" x14ac:dyDescent="0.25">
      <c r="A112" s="401">
        <v>14360</v>
      </c>
      <c r="B112" s="66" t="s">
        <v>342</v>
      </c>
      <c r="C112" s="67"/>
      <c r="D112" s="283" t="s">
        <v>508</v>
      </c>
      <c r="E112" s="419" t="s">
        <v>207</v>
      </c>
      <c r="F112" s="27">
        <v>120</v>
      </c>
      <c r="G112" s="546">
        <v>8.6111111111111124E-2</v>
      </c>
      <c r="H112" s="376" t="s">
        <v>387</v>
      </c>
      <c r="I112" s="285">
        <v>29.57</v>
      </c>
      <c r="J112" s="43">
        <v>550.61</v>
      </c>
    </row>
    <row r="113" spans="1:10" s="335" customFormat="1" x14ac:dyDescent="0.25">
      <c r="A113" s="349" t="s">
        <v>299</v>
      </c>
      <c r="B113" s="316" t="s">
        <v>9</v>
      </c>
      <c r="C113" s="365" t="s">
        <v>67</v>
      </c>
      <c r="D113" s="45" t="s">
        <v>208</v>
      </c>
      <c r="E113" s="196" t="s">
        <v>198</v>
      </c>
      <c r="F113" s="46">
        <v>3.8</v>
      </c>
      <c r="G113" s="47" t="s">
        <v>433</v>
      </c>
      <c r="H113" s="267" t="s">
        <v>480</v>
      </c>
      <c r="I113" s="194">
        <f>6.99+17</f>
        <v>23.990000000000002</v>
      </c>
      <c r="J113" s="201">
        <f>130.07+314.99</f>
        <v>445.06</v>
      </c>
    </row>
    <row r="114" spans="1:10" s="335" customFormat="1" ht="16.5" thickBot="1" x14ac:dyDescent="0.3">
      <c r="A114" s="400">
        <v>14481</v>
      </c>
      <c r="B114" s="459">
        <f>A114-A112</f>
        <v>121</v>
      </c>
      <c r="C114" s="460" t="s">
        <v>342</v>
      </c>
      <c r="D114" s="304" t="s">
        <v>198</v>
      </c>
      <c r="E114" s="286" t="s">
        <v>205</v>
      </c>
      <c r="F114" s="305">
        <v>2.5</v>
      </c>
      <c r="G114" s="306" t="s">
        <v>510</v>
      </c>
      <c r="H114" s="227" t="s">
        <v>511</v>
      </c>
      <c r="I114" s="200">
        <v>104</v>
      </c>
      <c r="J114" s="201">
        <v>1940.91</v>
      </c>
    </row>
    <row r="115" spans="1:10" s="335" customFormat="1" ht="31.5" x14ac:dyDescent="0.25">
      <c r="A115" s="562" t="s">
        <v>519</v>
      </c>
      <c r="B115" s="561">
        <f>A114-A75</f>
        <v>2262</v>
      </c>
      <c r="C115" s="560" t="s">
        <v>342</v>
      </c>
      <c r="D115" s="550" t="s">
        <v>205</v>
      </c>
      <c r="E115" s="549" t="s">
        <v>512</v>
      </c>
      <c r="F115" s="551">
        <v>2.4</v>
      </c>
      <c r="G115" s="552" t="s">
        <v>513</v>
      </c>
      <c r="H115" s="553" t="s">
        <v>405</v>
      </c>
      <c r="I115" s="547">
        <v>14.95</v>
      </c>
      <c r="J115" s="548">
        <v>276.95999999999998</v>
      </c>
    </row>
    <row r="116" spans="1:10" s="335" customFormat="1" ht="16.5" thickBot="1" x14ac:dyDescent="0.3">
      <c r="A116" s="559" t="s">
        <v>518</v>
      </c>
      <c r="B116" s="558">
        <f>J80+J91+J93+J102+J104+J109+J112</f>
        <v>2865.7500000000005</v>
      </c>
      <c r="C116" s="557" t="s">
        <v>517</v>
      </c>
      <c r="D116" s="479" t="s">
        <v>205</v>
      </c>
      <c r="E116" s="556" t="s">
        <v>514</v>
      </c>
      <c r="F116" s="469">
        <v>8.6999999999999993</v>
      </c>
      <c r="G116" s="470" t="s">
        <v>515</v>
      </c>
      <c r="H116" s="529" t="s">
        <v>516</v>
      </c>
      <c r="I116" s="530"/>
      <c r="J116" s="483"/>
    </row>
    <row r="117" spans="1:10" s="335" customFormat="1" x14ac:dyDescent="0.25">
      <c r="A117" s="5"/>
      <c r="B117" s="66"/>
      <c r="C117" s="67"/>
      <c r="D117" s="45" t="s">
        <v>114</v>
      </c>
      <c r="E117" s="181" t="s">
        <v>109</v>
      </c>
      <c r="F117" s="46"/>
      <c r="G117" s="47"/>
      <c r="H117" s="555" t="s">
        <v>365</v>
      </c>
      <c r="I117" s="63">
        <v>0</v>
      </c>
      <c r="J117" s="64">
        <f>I117*$E$127</f>
        <v>0</v>
      </c>
    </row>
    <row r="118" spans="1:10" s="335" customFormat="1" x14ac:dyDescent="0.25">
      <c r="A118" s="349">
        <v>21</v>
      </c>
      <c r="B118" s="316" t="s">
        <v>10</v>
      </c>
      <c r="C118" s="365" t="s">
        <v>68</v>
      </c>
      <c r="D118" s="45" t="s">
        <v>109</v>
      </c>
      <c r="E118" s="181" t="s">
        <v>111</v>
      </c>
      <c r="F118" s="46"/>
      <c r="G118" s="47" t="s">
        <v>115</v>
      </c>
      <c r="H118" s="409" t="s">
        <v>479</v>
      </c>
      <c r="I118" s="410">
        <v>200</v>
      </c>
      <c r="J118" s="411">
        <f>I118*E127</f>
        <v>3711.9999999999995</v>
      </c>
    </row>
    <row r="119" spans="1:10" s="335" customFormat="1" x14ac:dyDescent="0.25">
      <c r="A119" s="462"/>
      <c r="B119" s="459"/>
      <c r="C119" s="460"/>
      <c r="D119" s="185" t="s">
        <v>49</v>
      </c>
      <c r="E119" s="186" t="s">
        <v>112</v>
      </c>
      <c r="F119" s="203"/>
      <c r="G119" s="187" t="s">
        <v>191</v>
      </c>
      <c r="H119" s="301"/>
      <c r="I119" s="203"/>
      <c r="J119" s="187"/>
    </row>
    <row r="120" spans="1:10" s="335" customFormat="1" ht="16.5" thickBot="1" x14ac:dyDescent="0.3">
      <c r="A120" s="351">
        <v>22</v>
      </c>
      <c r="B120" s="366" t="s">
        <v>18</v>
      </c>
      <c r="C120" s="417" t="s">
        <v>69</v>
      </c>
      <c r="D120" s="20" t="s">
        <v>112</v>
      </c>
      <c r="E120" s="12" t="s">
        <v>116</v>
      </c>
      <c r="F120" s="36"/>
      <c r="G120" s="21" t="s">
        <v>192</v>
      </c>
      <c r="H120" s="40"/>
      <c r="I120" s="36"/>
      <c r="J120" s="21"/>
    </row>
    <row r="121" spans="1:10" s="335" customFormat="1" ht="7.5" customHeight="1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335" customFormat="1" x14ac:dyDescent="0.25">
      <c r="A122" s="1"/>
      <c r="B122" s="1"/>
      <c r="C122" s="1"/>
      <c r="D122" s="1"/>
      <c r="E122" s="1"/>
      <c r="F122" s="1"/>
      <c r="G122" s="54" t="s">
        <v>344</v>
      </c>
      <c r="H122" s="55"/>
      <c r="I122" s="56">
        <f>SUM(I4:I44,I45:I69,I74:I120)</f>
        <v>3208.24</v>
      </c>
      <c r="J122" s="57">
        <f>SUM(J4:J44,J45:J69,J74:J120)</f>
        <v>60268.113999999994</v>
      </c>
    </row>
    <row r="123" spans="1:10" s="335" customFormat="1" x14ac:dyDescent="0.25">
      <c r="A123" s="1"/>
      <c r="B123" s="1"/>
      <c r="C123" s="1"/>
      <c r="F123" s="1"/>
      <c r="G123" s="58" t="s">
        <v>74</v>
      </c>
      <c r="H123" s="59"/>
      <c r="I123" s="60">
        <f>J123/$E$127</f>
        <v>5329.8119612068967</v>
      </c>
      <c r="J123" s="61">
        <f>98307.12+614.19</f>
        <v>98921.31</v>
      </c>
    </row>
    <row r="124" spans="1:10" s="335" customFormat="1" ht="16.5" thickBot="1" x14ac:dyDescent="0.3">
      <c r="A124" s="1"/>
      <c r="B124" s="1"/>
      <c r="C124" s="1"/>
      <c r="D124" s="1"/>
      <c r="E124" s="1"/>
      <c r="F124" s="1"/>
      <c r="G124" s="51" t="s">
        <v>76</v>
      </c>
      <c r="H124" s="52"/>
      <c r="I124" s="53">
        <f>SUM(I122:I123)</f>
        <v>8538.0519612068965</v>
      </c>
      <c r="J124" s="50">
        <f>SUM(J122:J123)</f>
        <v>159189.424</v>
      </c>
    </row>
    <row r="125" spans="1:10" s="335" customFormat="1" x14ac:dyDescent="0.25">
      <c r="A125" s="1"/>
      <c r="B125" s="1"/>
      <c r="C125" s="1"/>
      <c r="D125" s="1"/>
      <c r="E125" s="1"/>
      <c r="F125" s="1"/>
      <c r="G125" s="54" t="s">
        <v>345</v>
      </c>
      <c r="H125" s="55"/>
      <c r="I125" s="56">
        <f>I122/3</f>
        <v>1069.4133333333332</v>
      </c>
      <c r="J125" s="57">
        <f>J122/3</f>
        <v>20089.371333333333</v>
      </c>
    </row>
    <row r="126" spans="1:10" s="335" customFormat="1" x14ac:dyDescent="0.25">
      <c r="A126" s="1"/>
      <c r="B126" s="1"/>
      <c r="C126" s="1"/>
      <c r="D126" s="1"/>
      <c r="E126" s="1"/>
      <c r="F126" s="1"/>
      <c r="G126" s="74" t="s">
        <v>92</v>
      </c>
      <c r="H126" s="75"/>
      <c r="I126" s="76">
        <f>J126/$E$127</f>
        <v>1776.6039870689656</v>
      </c>
      <c r="J126" s="77">
        <f>J123/3</f>
        <v>32973.769999999997</v>
      </c>
    </row>
    <row r="127" spans="1:10" s="335" customFormat="1" ht="16.5" thickBot="1" x14ac:dyDescent="0.3">
      <c r="A127" s="1"/>
      <c r="B127" s="1"/>
      <c r="C127" s="1"/>
      <c r="D127" s="48" t="s">
        <v>73</v>
      </c>
      <c r="E127" s="536">
        <v>18.559999999999999</v>
      </c>
      <c r="F127" s="1"/>
      <c r="G127" s="51" t="s">
        <v>77</v>
      </c>
      <c r="H127" s="52"/>
      <c r="I127" s="53">
        <f>SUM(I125:I126)</f>
        <v>2846.0173204022985</v>
      </c>
      <c r="J127" s="50">
        <f>SUM(J125:J126)</f>
        <v>53063.141333333333</v>
      </c>
    </row>
    <row r="129" spans="1:11" s="335" customFormat="1" x14ac:dyDescent="0.25">
      <c r="A129" s="1"/>
      <c r="B129" s="1"/>
      <c r="C129" s="1"/>
      <c r="D129" s="1"/>
      <c r="E129" s="1"/>
      <c r="F129" s="1"/>
      <c r="G129" s="1"/>
      <c r="K129" s="408"/>
    </row>
  </sheetData>
  <hyperlinks>
    <hyperlink ref="D78" r:id="rId1"/>
    <hyperlink ref="H87" r:id="rId2" display="Bread Knife &amp; top hills"/>
    <hyperlink ref="E99" r:id="rId3"/>
    <hyperlink ref="H63" r:id="rId4"/>
    <hyperlink ref="E78" r:id="rId5"/>
    <hyperlink ref="E74" r:id="rId6"/>
    <hyperlink ref="E113" r:id="rId7"/>
    <hyperlink ref="E13" r:id="rId8"/>
    <hyperlink ref="D14" r:id="rId9"/>
    <hyperlink ref="E14" r:id="rId10"/>
    <hyperlink ref="E41" r:id="rId11" display="Kunjarra"/>
    <hyperlink ref="E43" r:id="rId12"/>
    <hyperlink ref="E68" r:id="rId13"/>
    <hyperlink ref="E69" r:id="rId14"/>
    <hyperlink ref="E79" r:id="rId15"/>
    <hyperlink ref="E108" r:id="rId16"/>
    <hyperlink ref="E105" r:id="rId17"/>
    <hyperlink ref="H84" r:id="rId18"/>
    <hyperlink ref="H85" r:id="rId19"/>
    <hyperlink ref="E87" r:id="rId20"/>
    <hyperlink ref="E98" r:id="rId21" display="Dry Tank Campground"/>
    <hyperlink ref="H98" r:id="rId22"/>
    <hyperlink ref="E15" r:id="rId23"/>
    <hyperlink ref="E28" r:id="rId24" location="-1"/>
    <hyperlink ref="E25" r:id="rId25"/>
    <hyperlink ref="E17" r:id="rId26"/>
    <hyperlink ref="E21" r:id="rId27" display="Florence Falls - Campsite"/>
    <hyperlink ref="E20" r:id="rId28"/>
    <hyperlink ref="E22" r:id="rId29"/>
    <hyperlink ref="E30" r:id="rId30"/>
    <hyperlink ref="E57" r:id="rId31"/>
    <hyperlink ref="E82" r:id="rId32"/>
    <hyperlink ref="D106" r:id="rId33"/>
    <hyperlink ref="E110" r:id="rId34"/>
    <hyperlink ref="H111" r:id="rId35" display="Nocleh zdarma u památníku Bong Bong (za Moss Vale)"/>
    <hyperlink ref="E114" r:id="rId36"/>
  </hyperlinks>
  <pageMargins left="0.19685039370078741" right="0.19685039370078741" top="0.19685039370078741" bottom="0.19685039370078741" header="0.31496062992125984" footer="0.31496062992125984"/>
  <pageSetup paperSize="9" orientation="landscape" r:id="rId37"/>
  <rowBreaks count="2" manualBreakCount="2">
    <brk id="70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Plán výletu</vt:lpstr>
      <vt:lpstr>Realita Výletu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Tojnar</dc:creator>
  <cp:lastModifiedBy>Jan Tojnar</cp:lastModifiedBy>
  <cp:lastPrinted>2016-08-07T12:34:21Z</cp:lastPrinted>
  <dcterms:created xsi:type="dcterms:W3CDTF">2015-11-03T18:37:36Z</dcterms:created>
  <dcterms:modified xsi:type="dcterms:W3CDTF">2016-11-24T17:59:50Z</dcterms:modified>
</cp:coreProperties>
</file>